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M:\DairyCo MI\Datum from M\Website PB\Supply and demand\Farm data\UK Producer numbers\"/>
    </mc:Choice>
  </mc:AlternateContent>
  <xr:revisionPtr revIDLastSave="0" documentId="13_ncr:1_{BFD05556-0D2D-4931-83CD-5C95A33EDDB8}" xr6:coauthVersionLast="47" xr6:coauthVersionMax="47" xr10:uidLastSave="{00000000-0000-0000-0000-000000000000}"/>
  <bookViews>
    <workbookView xWindow="19090" yWindow="-1220" windowWidth="19420" windowHeight="11620" tabRatio="787" xr2:uid="{00000000-000D-0000-FFFF-FFFF00000000}"/>
  </bookViews>
  <sheets>
    <sheet name="GB AHDB producer numbers" sheetId="23" r:id="rId1"/>
    <sheet name="England and Wales (6-monthly)" sheetId="5" r:id="rId2"/>
    <sheet name="England and Wales (by county)" sheetId="8" r:id="rId3"/>
    <sheet name="Eng and Wales (by county Jun) " sheetId="25" state="hidden" r:id="rId4"/>
    <sheet name="UK by country (annual)" sheetId="16" r:id="rId5"/>
    <sheet name="Chart" sheetId="17" r:id="rId6"/>
    <sheet name="Disclaimer and notes" sheetId="22" r:id="rId7"/>
    <sheet name="Chart workings" sheetId="24" state="hidden" r:id="rId8"/>
    <sheet name="For website (HIDE)" sheetId="21" state="hidden" r:id="rId9"/>
  </sheets>
  <externalReferences>
    <externalReference r:id="rId10"/>
  </externalReferences>
  <definedNames>
    <definedName name="Months" localSheetId="0">#REF!</definedName>
    <definedName name="Months">#REF!</definedName>
    <definedName name="_xlnm.Print_Area" localSheetId="4">'UK by country (annual)'!$B$1:$J$36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1" l="1"/>
  <c r="D21" i="21"/>
  <c r="E21" i="21"/>
  <c r="F21" i="21"/>
  <c r="C20" i="21"/>
  <c r="D20" i="21"/>
  <c r="D17" i="23"/>
  <c r="E17" i="23" s="1"/>
  <c r="E52" i="5"/>
  <c r="D52" i="5"/>
  <c r="C52" i="5" s="1"/>
  <c r="F52" i="5" s="1"/>
  <c r="AA80" i="8"/>
  <c r="Z80" i="8"/>
  <c r="AA79" i="8"/>
  <c r="Z79" i="8"/>
  <c r="AA78" i="8"/>
  <c r="Z78" i="8"/>
  <c r="AA77" i="8"/>
  <c r="Z77" i="8"/>
  <c r="AA76" i="8"/>
  <c r="Z76" i="8"/>
  <c r="AA75" i="8"/>
  <c r="Z75" i="8"/>
  <c r="AA74" i="8"/>
  <c r="Z74" i="8"/>
  <c r="Z73" i="8"/>
  <c r="AA72" i="8"/>
  <c r="Z72" i="8"/>
  <c r="AA69" i="8"/>
  <c r="Z69" i="8"/>
  <c r="AA68" i="8"/>
  <c r="Z68" i="8"/>
  <c r="AA67" i="8"/>
  <c r="Z67" i="8"/>
  <c r="AA66" i="8"/>
  <c r="Z66" i="8"/>
  <c r="AA65" i="8"/>
  <c r="Z65" i="8"/>
  <c r="AA64" i="8"/>
  <c r="Z64" i="8"/>
  <c r="AA63" i="8"/>
  <c r="Z63" i="8"/>
  <c r="Z62" i="8"/>
  <c r="AA60" i="8"/>
  <c r="Z60" i="8"/>
  <c r="AA59" i="8"/>
  <c r="Z59" i="8"/>
  <c r="AA58" i="8"/>
  <c r="Z58" i="8"/>
  <c r="AA56" i="8"/>
  <c r="Z56" i="8"/>
  <c r="AA55" i="8"/>
  <c r="Z55" i="8"/>
  <c r="AA54" i="8"/>
  <c r="Z54" i="8"/>
  <c r="Z53" i="8"/>
  <c r="AA52" i="8"/>
  <c r="Z52" i="8"/>
  <c r="AA50" i="8"/>
  <c r="Z50" i="8"/>
  <c r="AA49" i="8"/>
  <c r="Z49" i="8"/>
  <c r="AA48" i="8"/>
  <c r="Z48" i="8"/>
  <c r="AA47" i="8"/>
  <c r="Z47" i="8"/>
  <c r="Z46" i="8"/>
  <c r="Z45" i="8"/>
  <c r="AA43" i="8"/>
  <c r="Z43" i="8"/>
  <c r="AA42" i="8"/>
  <c r="Z42" i="8"/>
  <c r="AA41" i="8"/>
  <c r="Z41" i="8"/>
  <c r="AA40" i="8"/>
  <c r="Z40" i="8"/>
  <c r="AA39" i="8"/>
  <c r="Z39" i="8"/>
  <c r="AA38" i="8"/>
  <c r="Z38" i="8"/>
  <c r="AA37" i="8"/>
  <c r="Z37" i="8"/>
  <c r="Z36" i="8"/>
  <c r="AA35" i="8"/>
  <c r="Z35" i="8"/>
  <c r="Z34" i="8"/>
  <c r="AA32" i="8"/>
  <c r="Z32" i="8"/>
  <c r="Z31" i="8"/>
  <c r="Z30" i="8"/>
  <c r="Z29" i="8"/>
  <c r="AA28" i="8"/>
  <c r="Z28" i="8"/>
  <c r="AA26" i="8"/>
  <c r="Z26" i="8"/>
  <c r="AA25" i="8"/>
  <c r="Z25" i="8"/>
  <c r="AA24" i="8"/>
  <c r="Z24" i="8"/>
  <c r="AA23" i="8"/>
  <c r="Z23" i="8"/>
  <c r="Z22" i="8"/>
  <c r="AA21" i="8"/>
  <c r="Z21" i="8"/>
  <c r="Z20" i="8"/>
  <c r="AA19" i="8"/>
  <c r="Z19" i="8"/>
  <c r="AA17" i="8"/>
  <c r="Z17" i="8"/>
  <c r="Z16" i="8"/>
  <c r="AA15" i="8"/>
  <c r="Z15" i="8"/>
  <c r="Z14" i="8"/>
  <c r="AA13" i="8"/>
  <c r="Z13" i="8"/>
  <c r="Z12" i="8"/>
  <c r="AA11" i="8"/>
  <c r="Z11" i="8"/>
  <c r="AA10" i="8"/>
  <c r="Z10" i="8"/>
  <c r="H52" i="5" l="1"/>
  <c r="G52" i="5"/>
  <c r="D51" i="5" l="1"/>
  <c r="E51" i="5"/>
  <c r="D16" i="23"/>
  <c r="E16" i="23" l="1"/>
  <c r="F20" i="21" s="1"/>
  <c r="E20" i="21"/>
  <c r="C51" i="5"/>
  <c r="G36" i="16"/>
  <c r="F36" i="16"/>
  <c r="E50" i="5"/>
  <c r="D50" i="5"/>
  <c r="C50" i="5" s="1"/>
  <c r="F51" i="5" s="1"/>
  <c r="C19" i="21" l="1"/>
  <c r="D19" i="21"/>
  <c r="E12" i="24" l="1"/>
  <c r="G12" i="24" s="1"/>
  <c r="D15" i="23"/>
  <c r="E19" i="21" s="1"/>
  <c r="E15" i="23" l="1"/>
  <c r="F19" i="21" s="1"/>
  <c r="G11" i="24"/>
  <c r="E11" i="24"/>
  <c r="C18" i="21"/>
  <c r="D18" i="21"/>
  <c r="D14" i="23"/>
  <c r="E14" i="23" s="1"/>
  <c r="F18" i="21" s="1"/>
  <c r="D49" i="5"/>
  <c r="E49" i="5"/>
  <c r="D48" i="5"/>
  <c r="C48" i="5" s="1"/>
  <c r="E48" i="5"/>
  <c r="G35" i="16"/>
  <c r="F35" i="16"/>
  <c r="E10" i="24"/>
  <c r="G10" i="24" s="1"/>
  <c r="G50" i="5" l="1"/>
  <c r="H50" i="5"/>
  <c r="E18" i="21"/>
  <c r="C49" i="5"/>
  <c r="D17" i="21"/>
  <c r="C17" i="21"/>
  <c r="D13" i="23"/>
  <c r="E13" i="23" s="1"/>
  <c r="F17" i="21" s="1"/>
  <c r="F50" i="5" l="1"/>
  <c r="G51" i="5"/>
  <c r="H51" i="5"/>
  <c r="F49" i="5"/>
  <c r="E17" i="21"/>
  <c r="F80" i="25" l="1"/>
  <c r="E80" i="25"/>
  <c r="F79" i="25"/>
  <c r="E79" i="25"/>
  <c r="F78" i="25"/>
  <c r="E78" i="25"/>
  <c r="F77" i="25"/>
  <c r="E77" i="25"/>
  <c r="F76" i="25"/>
  <c r="E76" i="25"/>
  <c r="F75" i="25"/>
  <c r="E75" i="25"/>
  <c r="F74" i="25"/>
  <c r="E74" i="25"/>
  <c r="F73" i="25"/>
  <c r="E73" i="25"/>
  <c r="F72" i="25"/>
  <c r="E72" i="25"/>
  <c r="F69" i="25"/>
  <c r="E69" i="25"/>
  <c r="F68" i="25"/>
  <c r="E68" i="25"/>
  <c r="F67" i="25"/>
  <c r="E67" i="25"/>
  <c r="F66" i="25"/>
  <c r="E66" i="25"/>
  <c r="F65" i="25"/>
  <c r="E65" i="25"/>
  <c r="F64" i="25"/>
  <c r="E64" i="25"/>
  <c r="F63" i="25"/>
  <c r="E63" i="25"/>
  <c r="F62" i="25"/>
  <c r="E62" i="25"/>
  <c r="F60" i="25"/>
  <c r="E60" i="25"/>
  <c r="F59" i="25"/>
  <c r="E59" i="25"/>
  <c r="F58" i="25"/>
  <c r="E58" i="25"/>
  <c r="F56" i="25"/>
  <c r="E56" i="25"/>
  <c r="F55" i="25"/>
  <c r="E55" i="25"/>
  <c r="F54" i="25"/>
  <c r="E54" i="25"/>
  <c r="E53" i="25"/>
  <c r="F52" i="25"/>
  <c r="E52" i="25"/>
  <c r="F50" i="25"/>
  <c r="E50" i="25"/>
  <c r="F49" i="25"/>
  <c r="E49" i="25"/>
  <c r="F48" i="25"/>
  <c r="E48" i="25"/>
  <c r="F47" i="25"/>
  <c r="E47" i="25"/>
  <c r="F46" i="25"/>
  <c r="E46" i="25"/>
  <c r="F45" i="25"/>
  <c r="E45" i="25"/>
  <c r="F43" i="25"/>
  <c r="E43" i="25"/>
  <c r="F42" i="25"/>
  <c r="E42" i="25"/>
  <c r="F41" i="25"/>
  <c r="E41" i="25"/>
  <c r="F40" i="25"/>
  <c r="E40" i="25"/>
  <c r="F39" i="25"/>
  <c r="E39" i="25"/>
  <c r="F38" i="25"/>
  <c r="E38" i="25"/>
  <c r="F37" i="25"/>
  <c r="E37" i="25"/>
  <c r="F36" i="25"/>
  <c r="E36" i="25"/>
  <c r="F35" i="25"/>
  <c r="E35" i="25"/>
  <c r="F34" i="25"/>
  <c r="E34" i="25"/>
  <c r="F32" i="25"/>
  <c r="E32" i="25"/>
  <c r="F31" i="25"/>
  <c r="E31" i="25"/>
  <c r="F30" i="25"/>
  <c r="E30" i="25"/>
  <c r="F29" i="25"/>
  <c r="E29" i="25"/>
  <c r="F28" i="25"/>
  <c r="E28"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E9" i="24" l="1"/>
  <c r="G9" i="24" s="1"/>
  <c r="C16" i="21"/>
  <c r="C15" i="21"/>
  <c r="C14" i="21"/>
  <c r="C13" i="21"/>
  <c r="D12" i="23"/>
  <c r="E12" i="23" s="1"/>
  <c r="D11" i="23"/>
  <c r="E11" i="23" s="1"/>
  <c r="F34" i="16"/>
  <c r="E47" i="5"/>
  <c r="D47" i="5"/>
  <c r="C47" i="5" l="1"/>
  <c r="E8" i="24"/>
  <c r="G8" i="24" s="1"/>
  <c r="E7" i="24"/>
  <c r="G7" i="24" s="1"/>
  <c r="E6" i="24"/>
  <c r="G6" i="24" s="1"/>
  <c r="E5" i="24"/>
  <c r="G5" i="24" s="1"/>
  <c r="F48" i="5" l="1"/>
  <c r="G49" i="5"/>
  <c r="H49" i="5"/>
  <c r="D14" i="21"/>
  <c r="D15" i="21"/>
  <c r="D16" i="21"/>
  <c r="D13" i="21"/>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11"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10" i="5"/>
  <c r="E46" i="5" l="1"/>
  <c r="D46" i="5"/>
  <c r="F15" i="21" l="1"/>
  <c r="E15" i="21"/>
  <c r="F16" i="21"/>
  <c r="E16" i="21"/>
  <c r="C46" i="5"/>
  <c r="H48" i="5" l="1"/>
  <c r="G48" i="5"/>
  <c r="F47" i="5"/>
  <c r="E45" i="5"/>
  <c r="D45" i="5"/>
  <c r="C45" i="5" l="1"/>
  <c r="F33" i="16"/>
  <c r="G34" i="16" s="1"/>
  <c r="H47" i="5" l="1"/>
  <c r="G47" i="5"/>
  <c r="F46" i="5"/>
  <c r="E44" i="5"/>
  <c r="D44" i="5"/>
  <c r="P79" i="8"/>
  <c r="D43" i="5" s="1"/>
  <c r="O79" i="8"/>
  <c r="D42" i="5" s="1"/>
  <c r="N79" i="8"/>
  <c r="D41" i="5" s="1"/>
  <c r="P68" i="8"/>
  <c r="P69" i="8" s="1"/>
  <c r="O68" i="8"/>
  <c r="O69" i="8" s="1"/>
  <c r="F32" i="16"/>
  <c r="G33" i="16" s="1"/>
  <c r="F31" i="16"/>
  <c r="N67" i="8"/>
  <c r="N68" i="8" s="1"/>
  <c r="N60" i="8"/>
  <c r="N56" i="8"/>
  <c r="N11" i="8"/>
  <c r="N17" i="8" s="1"/>
  <c r="N26" i="8"/>
  <c r="N32" i="8"/>
  <c r="N41" i="8"/>
  <c r="N43" i="8" s="1"/>
  <c r="N50" i="8"/>
  <c r="M78" i="8"/>
  <c r="M76" i="8"/>
  <c r="M72" i="8"/>
  <c r="M65" i="8"/>
  <c r="M68" i="8" s="1"/>
  <c r="M59" i="8"/>
  <c r="M60" i="8" s="1"/>
  <c r="M56" i="8"/>
  <c r="M50" i="8"/>
  <c r="M41" i="8"/>
  <c r="M43" i="8" s="1"/>
  <c r="M32" i="8"/>
  <c r="M26" i="8"/>
  <c r="M11" i="8"/>
  <c r="M17" i="8" s="1"/>
  <c r="F9" i="16"/>
  <c r="F10" i="16"/>
  <c r="F11" i="16"/>
  <c r="F12" i="16"/>
  <c r="F13" i="16"/>
  <c r="F14" i="16"/>
  <c r="F15" i="16"/>
  <c r="F16" i="16"/>
  <c r="F17" i="16"/>
  <c r="G17" i="16" s="1"/>
  <c r="F18" i="16"/>
  <c r="F19" i="16"/>
  <c r="G19" i="16" s="1"/>
  <c r="F20" i="16"/>
  <c r="F21" i="16"/>
  <c r="G21" i="16" s="1"/>
  <c r="F22" i="16"/>
  <c r="F23" i="16"/>
  <c r="F24" i="16"/>
  <c r="G24" i="16" s="1"/>
  <c r="F25" i="16"/>
  <c r="G26" i="16" s="1"/>
  <c r="F26" i="16"/>
  <c r="F27" i="16"/>
  <c r="G27" i="16" s="1"/>
  <c r="F28" i="16"/>
  <c r="F29" i="16"/>
  <c r="G30" i="16" s="1"/>
  <c r="F30" i="16"/>
  <c r="D11" i="8"/>
  <c r="D17" i="8" s="1"/>
  <c r="E11" i="8"/>
  <c r="E17" i="8" s="1"/>
  <c r="F11" i="8"/>
  <c r="F17" i="8" s="1"/>
  <c r="C17" i="8"/>
  <c r="G17" i="8"/>
  <c r="H17" i="8"/>
  <c r="I17" i="8"/>
  <c r="J17" i="8"/>
  <c r="K17" i="8"/>
  <c r="L17" i="8"/>
  <c r="E19" i="8"/>
  <c r="E26" i="8" s="1"/>
  <c r="F19" i="8"/>
  <c r="F26" i="8" s="1"/>
  <c r="C26" i="8"/>
  <c r="D26" i="8"/>
  <c r="G26" i="8"/>
  <c r="H26" i="8"/>
  <c r="I26" i="8"/>
  <c r="J26" i="8"/>
  <c r="K26" i="8"/>
  <c r="L26" i="8"/>
  <c r="C32" i="8"/>
  <c r="D32" i="8"/>
  <c r="E32" i="8"/>
  <c r="F32" i="8"/>
  <c r="G32" i="8"/>
  <c r="H32" i="8"/>
  <c r="I32" i="8"/>
  <c r="J32" i="8"/>
  <c r="K32" i="8"/>
  <c r="L32" i="8"/>
  <c r="D41" i="8"/>
  <c r="D43" i="8" s="1"/>
  <c r="E41" i="8"/>
  <c r="E43" i="8" s="1"/>
  <c r="F41" i="8"/>
  <c r="F43" i="8" s="1"/>
  <c r="C43" i="8"/>
  <c r="G43" i="8"/>
  <c r="H43" i="8"/>
  <c r="I43" i="8"/>
  <c r="J43" i="8"/>
  <c r="K43" i="8"/>
  <c r="L43" i="8"/>
  <c r="C50" i="8"/>
  <c r="D50" i="8"/>
  <c r="E50" i="8"/>
  <c r="F50" i="8"/>
  <c r="G50" i="8"/>
  <c r="H50" i="8"/>
  <c r="I50" i="8"/>
  <c r="J50" i="8"/>
  <c r="K50" i="8"/>
  <c r="L50" i="8"/>
  <c r="E54" i="8"/>
  <c r="E56" i="8" s="1"/>
  <c r="F54" i="8"/>
  <c r="F56" i="8" s="1"/>
  <c r="C56" i="8"/>
  <c r="D56" i="8"/>
  <c r="G56" i="8"/>
  <c r="H56" i="8"/>
  <c r="I56" i="8"/>
  <c r="J56" i="8"/>
  <c r="K56" i="8"/>
  <c r="L56" i="8"/>
  <c r="E59" i="8"/>
  <c r="E60" i="8" s="1"/>
  <c r="F59" i="8"/>
  <c r="F60" i="8" s="1"/>
  <c r="C60" i="8"/>
  <c r="D60" i="8"/>
  <c r="G60" i="8"/>
  <c r="H60" i="8"/>
  <c r="I60" i="8"/>
  <c r="J60" i="8"/>
  <c r="K60" i="8"/>
  <c r="L60" i="8"/>
  <c r="E64" i="8"/>
  <c r="F64" i="8"/>
  <c r="D65" i="8"/>
  <c r="D68" i="8" s="1"/>
  <c r="E65" i="8"/>
  <c r="F65" i="8"/>
  <c r="C68" i="8"/>
  <c r="G68" i="8"/>
  <c r="H68" i="8"/>
  <c r="I68" i="8"/>
  <c r="J68" i="8"/>
  <c r="K68" i="8"/>
  <c r="L68" i="8"/>
  <c r="D72" i="8"/>
  <c r="E72" i="8"/>
  <c r="F72" i="8"/>
  <c r="D75" i="8"/>
  <c r="E75" i="8"/>
  <c r="F75" i="8"/>
  <c r="D76" i="8"/>
  <c r="E76" i="8"/>
  <c r="F76" i="8"/>
  <c r="D78" i="8"/>
  <c r="E78" i="8"/>
  <c r="F78" i="8"/>
  <c r="C79" i="8"/>
  <c r="G79" i="8"/>
  <c r="H79" i="8"/>
  <c r="I79" i="8"/>
  <c r="J79" i="8"/>
  <c r="K79" i="8"/>
  <c r="L79" i="8"/>
  <c r="G14" i="16"/>
  <c r="G11" i="16" l="1"/>
  <c r="G31" i="16"/>
  <c r="G18" i="16"/>
  <c r="G25" i="16"/>
  <c r="G28" i="16"/>
  <c r="G20" i="16"/>
  <c r="G12" i="16"/>
  <c r="P80" i="8"/>
  <c r="E68" i="8"/>
  <c r="E69" i="8" s="1"/>
  <c r="M79" i="8"/>
  <c r="M80" i="8" s="1"/>
  <c r="E43" i="5"/>
  <c r="C43" i="5" s="1"/>
  <c r="I69" i="8"/>
  <c r="G29" i="16"/>
  <c r="G23" i="16"/>
  <c r="G16" i="16"/>
  <c r="G10" i="16"/>
  <c r="L69" i="8"/>
  <c r="H69" i="8"/>
  <c r="K69" i="8"/>
  <c r="G69" i="8"/>
  <c r="J80" i="8"/>
  <c r="N69" i="8"/>
  <c r="N80" i="8" s="1"/>
  <c r="C80" i="8"/>
  <c r="M69" i="8"/>
  <c r="D79" i="8"/>
  <c r="D80" i="8" s="1"/>
  <c r="F79" i="8"/>
  <c r="E79" i="8"/>
  <c r="F68" i="8"/>
  <c r="F69" i="8" s="1"/>
  <c r="D69" i="8"/>
  <c r="E42" i="5"/>
  <c r="C42" i="5" s="1"/>
  <c r="O80" i="8"/>
  <c r="G15" i="16"/>
  <c r="J69" i="8"/>
  <c r="C69" i="8"/>
  <c r="K80" i="8"/>
  <c r="I80" i="8"/>
  <c r="H80" i="8"/>
  <c r="G22" i="16"/>
  <c r="G32" i="16"/>
  <c r="G80" i="8"/>
  <c r="G13" i="16"/>
  <c r="L80" i="8"/>
  <c r="C44" i="5"/>
  <c r="E80" i="8" l="1"/>
  <c r="E41" i="5"/>
  <c r="C41" i="5" s="1"/>
  <c r="F41" i="5" s="1"/>
  <c r="H42" i="5"/>
  <c r="G42" i="5"/>
  <c r="F43" i="5"/>
  <c r="H45" i="5"/>
  <c r="G45" i="5"/>
  <c r="H44" i="5"/>
  <c r="G44" i="5"/>
  <c r="F44" i="5"/>
  <c r="H46" i="5"/>
  <c r="G46" i="5"/>
  <c r="F45" i="5"/>
  <c r="F80" i="8"/>
  <c r="G43" i="5" l="1"/>
  <c r="G41" i="5"/>
  <c r="H43" i="5"/>
  <c r="H41" i="5"/>
  <c r="F42" i="5"/>
</calcChain>
</file>

<file path=xl/sharedStrings.xml><?xml version="1.0" encoding="utf-8"?>
<sst xmlns="http://schemas.openxmlformats.org/spreadsheetml/2006/main" count="274" uniqueCount="159">
  <si>
    <t>Wales</t>
  </si>
  <si>
    <t>England</t>
  </si>
  <si>
    <t>United Kingdom</t>
  </si>
  <si>
    <t>Total</t>
  </si>
  <si>
    <t>North</t>
  </si>
  <si>
    <t>North West</t>
  </si>
  <si>
    <t>East</t>
  </si>
  <si>
    <t>Midlands</t>
  </si>
  <si>
    <t>South</t>
  </si>
  <si>
    <t>Mid West</t>
  </si>
  <si>
    <t>Far West</t>
  </si>
  <si>
    <t>South East</t>
  </si>
  <si>
    <t>**</t>
  </si>
  <si>
    <t>England and Wales</t>
  </si>
  <si>
    <t>Scotland</t>
  </si>
  <si>
    <t>Northern Ireland</t>
  </si>
  <si>
    <t>Ceredigion</t>
  </si>
  <si>
    <t>Powys</t>
  </si>
  <si>
    <t>Carmarthenshire</t>
  </si>
  <si>
    <t>Pembrokeshire</t>
  </si>
  <si>
    <t>Gwynedd</t>
  </si>
  <si>
    <t>Blaenau Gwent</t>
  </si>
  <si>
    <t>South Wales</t>
  </si>
  <si>
    <t>Bridgend</t>
  </si>
  <si>
    <t>Caerphilly</t>
  </si>
  <si>
    <t>Cardiff</t>
  </si>
  <si>
    <t>Conwy</t>
  </si>
  <si>
    <t>Denbighshire</t>
  </si>
  <si>
    <t>Flintshire</t>
  </si>
  <si>
    <t>Isle of Anglesey</t>
  </si>
  <si>
    <t>Merthyr Tydfil</t>
  </si>
  <si>
    <t>Monmouthshire</t>
  </si>
  <si>
    <t>Neath Port Talbot</t>
  </si>
  <si>
    <t>Newport</t>
  </si>
  <si>
    <t>Rhondda Cynon Taff</t>
  </si>
  <si>
    <t>Swansea</t>
  </si>
  <si>
    <t>Torfaen</t>
  </si>
  <si>
    <t>Vale of Glamorgan</t>
  </si>
  <si>
    <t>Wrexham</t>
  </si>
  <si>
    <t>E. Yorks (Humberside)</t>
  </si>
  <si>
    <t>Cumbria</t>
  </si>
  <si>
    <t>Durham and Tyne &amp; Wear</t>
  </si>
  <si>
    <t>Northumberland</t>
  </si>
  <si>
    <t>North Yorkshire</t>
  </si>
  <si>
    <t>South Yorkshire</t>
  </si>
  <si>
    <t>Cleveland</t>
  </si>
  <si>
    <t>Cheshire</t>
  </si>
  <si>
    <t>Greater Manchester</t>
  </si>
  <si>
    <t>Lancashire</t>
  </si>
  <si>
    <t>Merseyside</t>
  </si>
  <si>
    <t>West Yorkshire</t>
  </si>
  <si>
    <t>Derbyshire</t>
  </si>
  <si>
    <t>Staffordshire</t>
  </si>
  <si>
    <t>Lincolnshire</t>
  </si>
  <si>
    <t>Cambridgeshire</t>
  </si>
  <si>
    <t>Norfolk</t>
  </si>
  <si>
    <t>Suffolk</t>
  </si>
  <si>
    <t>Bedfordshire</t>
  </si>
  <si>
    <t>Northamptonshire</t>
  </si>
  <si>
    <t>Nottinghamshire</t>
  </si>
  <si>
    <t>Warwickshire</t>
  </si>
  <si>
    <t>West Midlands</t>
  </si>
  <si>
    <t>Gloucestershire</t>
  </si>
  <si>
    <t>Herefordshire &amp; Worcestershire</t>
  </si>
  <si>
    <t>Shropshire</t>
  </si>
  <si>
    <t>Berkshire</t>
  </si>
  <si>
    <t>Buckinghamshire</t>
  </si>
  <si>
    <t>Hampshire</t>
  </si>
  <si>
    <t>Isle of Wight</t>
  </si>
  <si>
    <t>Oxfordshire</t>
  </si>
  <si>
    <t>Dorset</t>
  </si>
  <si>
    <t>Somerset</t>
  </si>
  <si>
    <t>Wiltshire</t>
  </si>
  <si>
    <t>Devon</t>
  </si>
  <si>
    <t>Cornwall and Isles of Scilly</t>
  </si>
  <si>
    <t>Essex</t>
  </si>
  <si>
    <t>Hertfordshire</t>
  </si>
  <si>
    <t>Kent</t>
  </si>
  <si>
    <t>Greater London and Surrey</t>
  </si>
  <si>
    <t>East Sussex</t>
  </si>
  <si>
    <t>West Sussex</t>
  </si>
  <si>
    <t>Bristol</t>
  </si>
  <si>
    <t>Whitland</t>
  </si>
  <si>
    <t>Pwllheli</t>
  </si>
  <si>
    <t>Caernarvon</t>
  </si>
  <si>
    <t>2005*</t>
  </si>
  <si>
    <t>* Change in methodology, from 2005 Northern Ireland has used APHIS. Figures for Northern Ireland include Farms on which dairy cows account for more than two-thirds of the total standard output.</t>
  </si>
  <si>
    <t>2012**</t>
  </si>
  <si>
    <t>Leicestershire &amp; Rutland</t>
  </si>
  <si>
    <t>Disclaimer</t>
  </si>
  <si>
    <t>Contact us</t>
  </si>
  <si>
    <t>Telephone</t>
  </si>
  <si>
    <t>Email</t>
  </si>
  <si>
    <t>Website</t>
  </si>
  <si>
    <t>ahdb.org.uk</t>
  </si>
  <si>
    <t>Annual change</t>
  </si>
  <si>
    <t>Producer numbers (England and Wales)</t>
  </si>
  <si>
    <t>Producer numbers (England and Wales by county)</t>
  </si>
  <si>
    <t>Producer numbers (UK by country)</t>
  </si>
  <si>
    <t>As at June</t>
  </si>
  <si>
    <t>North East Wales</t>
  </si>
  <si>
    <t>North West Wales</t>
  </si>
  <si>
    <t>Welsh agri-regions</t>
  </si>
  <si>
    <t>Notes</t>
  </si>
  <si>
    <t>Click here for more information</t>
  </si>
  <si>
    <t>North-East Wales</t>
  </si>
  <si>
    <t>North-West Wales</t>
  </si>
  <si>
    <t>Annual % change</t>
  </si>
  <si>
    <t>Month ending</t>
  </si>
  <si>
    <t>England total</t>
  </si>
  <si>
    <t>UK by country</t>
  </si>
  <si>
    <t>Month</t>
  </si>
  <si>
    <t>Head office address</t>
  </si>
  <si>
    <r>
      <rPr>
        <b/>
        <sz val="12"/>
        <color rgb="FF575756"/>
        <rFont val="Arial"/>
        <family val="2"/>
      </rPr>
      <t>Source</t>
    </r>
    <r>
      <rPr>
        <sz val="12"/>
        <color rgb="FF575756"/>
        <rFont val="Arial"/>
        <family val="2"/>
      </rPr>
      <t>: Foods Standards Agency</t>
    </r>
  </si>
  <si>
    <r>
      <t>Units:</t>
    </r>
    <r>
      <rPr>
        <sz val="12"/>
        <color rgb="FF575756"/>
        <rFont val="Arial"/>
        <family val="2"/>
      </rPr>
      <t xml:space="preserve"> Number of registered holdings</t>
    </r>
  </si>
  <si>
    <r>
      <rPr>
        <b/>
        <sz val="12"/>
        <color rgb="FF575756"/>
        <rFont val="Arial"/>
        <family val="2"/>
      </rPr>
      <t>Source</t>
    </r>
    <r>
      <rPr>
        <sz val="12"/>
        <color rgb="FF575756"/>
        <rFont val="Arial"/>
        <family val="2"/>
      </rPr>
      <t>: Food Standards Agency, DHI, SEERAD, SDCA, DAERA</t>
    </r>
  </si>
  <si>
    <t>England and Wales total</t>
  </si>
  <si>
    <t>Producer numbers (Great Britain)</t>
  </si>
  <si>
    <r>
      <rPr>
        <b/>
        <sz val="12"/>
        <color rgb="FF575756"/>
        <rFont val="Arial"/>
        <family val="2"/>
      </rPr>
      <t>Source</t>
    </r>
    <r>
      <rPr>
        <sz val="12"/>
        <color rgb="FF575756"/>
        <rFont val="Arial"/>
        <family val="2"/>
      </rPr>
      <t>: AHDB</t>
    </r>
  </si>
  <si>
    <r>
      <t>Units:</t>
    </r>
    <r>
      <rPr>
        <sz val="12"/>
        <color rgb="FF575756"/>
        <rFont val="Arial"/>
        <family val="2"/>
      </rPr>
      <t xml:space="preserve"> Number of active and temporarily inactive dairy farmers</t>
    </r>
  </si>
  <si>
    <t>Overall GB</t>
  </si>
  <si>
    <t>Source: AHDB</t>
  </si>
  <si>
    <t>GB</t>
  </si>
  <si>
    <t>dairy producer numbers</t>
  </si>
  <si>
    <t>12 month vol (ml)</t>
  </si>
  <si>
    <t>Av ml per year</t>
  </si>
  <si>
    <t>Feb-19</t>
  </si>
  <si>
    <t>Oct-19</t>
  </si>
  <si>
    <t>Apr-20</t>
  </si>
  <si>
    <t>Oct-20</t>
  </si>
  <si>
    <t>volume per farm</t>
  </si>
  <si>
    <t>GB producers</t>
  </si>
  <si>
    <t>6-monthly change</t>
  </si>
  <si>
    <t xml:space="preserve">6-monthly % change </t>
  </si>
  <si>
    <t xml:space="preserve">AHDB data is sourced from a survey of active and inactive producers based upon 76% of GB production and so the estimate has been adjusted accordingly. </t>
  </si>
  <si>
    <r>
      <t xml:space="preserve">With regard to the Food Standards Agency (FSA) data, all premises where milk is produced are refered to as 'Production Holdings'; this includes holdings with sheep, goats and buffalo. According to the FSA data, the number of dairy producers in Enlgand and Wales has fallen considerably in the last 12 months. However, this database is going through cleansing exercise, and may </t>
    </r>
    <r>
      <rPr>
        <b/>
        <sz val="12"/>
        <color indexed="63"/>
        <rFont val="Arial"/>
        <family val="2"/>
      </rPr>
      <t>not be a true reflection of the rate of farmers exiting the industry</t>
    </r>
    <r>
      <rPr>
        <sz val="12"/>
        <color indexed="63"/>
        <rFont val="Arial"/>
        <family val="2"/>
      </rPr>
      <t xml:space="preserve">. Therefore, </t>
    </r>
    <r>
      <rPr>
        <b/>
        <sz val="12"/>
        <color indexed="63"/>
        <rFont val="Arial"/>
        <family val="2"/>
      </rPr>
      <t>this data should be treated with caution</t>
    </r>
    <r>
      <rPr>
        <sz val="12"/>
        <color indexed="63"/>
        <rFont val="Arial"/>
        <family val="2"/>
      </rPr>
      <t xml:space="preserve">. </t>
    </r>
  </si>
  <si>
    <t>Apr-21</t>
  </si>
  <si>
    <t>** Figures from Scotland are collected from the Scottish Dairy Cattle Association from 2012. Please note the figures from 2012 are as at July.</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</si>
  <si>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</si>
  <si>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</si>
  <si>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r>
      <t>Last updated:</t>
    </r>
    <r>
      <rPr>
        <sz val="12"/>
        <color rgb="FF575756"/>
        <rFont val="Arial"/>
        <family val="2"/>
      </rPr>
      <t xml:space="preserve"> 01/06/2021</t>
    </r>
  </si>
  <si>
    <t xml:space="preserve">Annual  % change </t>
  </si>
  <si>
    <t>Team</t>
  </si>
  <si>
    <t>Data &amp; Analysis Team</t>
  </si>
  <si>
    <t>024 7697 8383 / 024 7527 1293</t>
  </si>
  <si>
    <t>datum@ahdb.org.uk</t>
  </si>
  <si>
    <t>total</t>
  </si>
  <si>
    <t>Apr-22</t>
  </si>
  <si>
    <r>
      <rPr>
        <b/>
        <sz val="12"/>
        <color rgb="FF575756"/>
        <rFont val="Arial"/>
        <family val="2"/>
      </rPr>
      <t xml:space="preserve">Source: </t>
    </r>
    <r>
      <rPr>
        <sz val="12"/>
        <color rgb="FF575756"/>
        <rFont val="Arial"/>
        <family val="2"/>
      </rPr>
      <t>Foods Standards Agency</t>
    </r>
  </si>
  <si>
    <r>
      <rPr>
        <b/>
        <sz val="12"/>
        <color rgb="FF575756"/>
        <rFont val="Arial"/>
        <family val="2"/>
      </rPr>
      <t>Units:</t>
    </r>
    <r>
      <rPr>
        <sz val="12"/>
        <color rgb="FF575756"/>
        <rFont val="Arial"/>
        <family val="2"/>
      </rPr>
      <t xml:space="preserve"> Number of registered holdings</t>
    </r>
  </si>
  <si>
    <t xml:space="preserve"> © Agriculture and Horticulture Development Board 2023. All rights reserved.</t>
  </si>
  <si>
    <r>
      <t xml:space="preserve">Last updated: </t>
    </r>
    <r>
      <rPr>
        <sz val="12"/>
        <color rgb="FF575756"/>
        <rFont val="Arial"/>
        <family val="2"/>
      </rPr>
      <t>13/04/2023</t>
    </r>
  </si>
  <si>
    <r>
      <rPr>
        <b/>
        <sz val="12"/>
        <color rgb="FF575756"/>
        <rFont val="Arial"/>
        <family val="2"/>
      </rPr>
      <t xml:space="preserve">Last updated: </t>
    </r>
    <r>
      <rPr>
        <sz val="12"/>
        <color rgb="FF575756"/>
        <rFont val="Arial"/>
        <family val="2"/>
      </rPr>
      <t>02/10/2023</t>
    </r>
  </si>
  <si>
    <t>Agriculture and Horticulture Development Board
Middlemarch Business Park
Siskin Parkway East
Coventry
CV3 4PE</t>
  </si>
  <si>
    <t>n/a</t>
  </si>
  <si>
    <t>nc</t>
  </si>
  <si>
    <t>nc no change</t>
  </si>
  <si>
    <r>
      <t>Last updated:</t>
    </r>
    <r>
      <rPr>
        <sz val="12"/>
        <color rgb="FF575756"/>
        <rFont val="Arial"/>
        <family val="2"/>
      </rPr>
      <t xml:space="preserve"> 02/10/2023</t>
    </r>
  </si>
  <si>
    <r>
      <t>Last updated:</t>
    </r>
    <r>
      <rPr>
        <sz val="12"/>
        <color rgb="FF575756"/>
        <rFont val="Arial"/>
        <family val="2"/>
      </rPr>
      <t xml:space="preserve"> 23/11/2023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</si>
</sst>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mmm\ yyyy"/>
    <numFmt numFmtId="167" formatCode="_-* #,##0_-;\-* #,##0_-;_-* &quot;-&quot;??_-;_-@_-"/>
  </numFmts>
  <fonts count="75" x14ac:knownFonts="1">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sz val="11"/>
      <name val="Arial"/>
      <family val="2"/>
    </font>
    <font>
      <b/>
      <u/>
      <sz val="12"/>
      <color indexed="12"/>
      <name val="Arial"/>
      <family val="2"/>
    </font>
    <font>
      <sz val="8"/>
      <name val="Arial"/>
      <family val="2"/>
    </font>
    <font>
      <b/>
      <sz val="11"/>
      <color indexed="23"/>
      <name val="Arial"/>
      <family val="2"/>
    </font>
    <font>
      <i/>
      <sz val="9"/>
      <color indexed="23"/>
      <name val="Arial"/>
      <family val="2"/>
    </font>
    <font>
      <sz val="9"/>
      <name val="Arial"/>
      <family val="2"/>
    </font>
    <font>
      <sz val="12"/>
      <name val="Perpetua"/>
      <family val="1"/>
    </font>
    <font>
      <sz val="10"/>
      <name val="Arial"/>
      <family val="2"/>
    </font>
    <font>
      <b/>
      <sz val="12"/>
      <color indexed="63"/>
      <name val="Arial"/>
      <family val="2"/>
    </font>
    <font>
      <sz val="12"/>
      <color indexed="63"/>
      <name val="Arial"/>
      <family val="2"/>
    </font>
    <font>
      <sz val="12"/>
      <name val="Arial"/>
      <family val="2"/>
    </font>
    <font>
      <sz val="12"/>
      <color indexed="23"/>
      <name val="Arial"/>
      <family val="2"/>
    </font>
    <font>
      <b/>
      <sz val="12"/>
      <color indexed="23"/>
      <name val="Arial"/>
      <family val="2"/>
    </font>
    <font>
      <u/>
      <sz val="12"/>
      <color indexed="12"/>
      <name val="Arial"/>
      <family val="2"/>
    </font>
    <font>
      <u/>
      <sz val="7.5"/>
      <color theme="10"/>
      <name val="Arial"/>
      <family val="2"/>
    </font>
    <font>
      <b/>
      <sz val="10"/>
      <color theme="0"/>
      <name val="Calibri"/>
      <family val="2"/>
      <scheme val="minor"/>
    </font>
    <font>
      <sz val="10"/>
      <color rgb="FFFF0000"/>
      <name val="Arial"/>
      <family val="2"/>
    </font>
    <font>
      <sz val="9"/>
      <color theme="1"/>
      <name val="Arial"/>
      <family val="2"/>
    </font>
    <font>
      <b/>
      <sz val="14"/>
      <color theme="4"/>
      <name val="Arial"/>
      <family val="2"/>
    </font>
    <font>
      <b/>
      <sz val="10"/>
      <color theme="1"/>
      <name val="Arial"/>
      <family val="2"/>
    </font>
    <font>
      <sz val="10"/>
      <color theme="1"/>
      <name val="Arial"/>
      <family val="2"/>
    </font>
    <font>
      <sz val="11"/>
      <color theme="8" tint="-0.249977111117893"/>
      <name val="Arial"/>
      <family val="2"/>
    </font>
    <font>
      <i/>
      <sz val="10"/>
      <color theme="0" tint="-0.499984740745262"/>
      <name val="Arial"/>
      <family val="2"/>
    </font>
    <font>
      <sz val="9"/>
      <color rgb="FFFF0000"/>
      <name val="Arial"/>
      <family val="2"/>
    </font>
    <font>
      <b/>
      <sz val="11"/>
      <color theme="0"/>
      <name val="Arial"/>
      <family val="2"/>
    </font>
    <font>
      <b/>
      <sz val="11"/>
      <color rgb="FF95C11F"/>
      <name val="Arial"/>
      <family val="2"/>
    </font>
    <font>
      <b/>
      <sz val="16"/>
      <color theme="4"/>
      <name val="Arial"/>
      <family val="2"/>
    </font>
    <font>
      <b/>
      <sz val="12"/>
      <color rgb="FF575756"/>
      <name val="Arial"/>
      <family val="2"/>
    </font>
    <font>
      <b/>
      <sz val="12"/>
      <color theme="0"/>
      <name val="Arial"/>
      <family val="2"/>
    </font>
    <font>
      <b/>
      <sz val="12"/>
      <color rgb="FF95C11F"/>
      <name val="Arial"/>
      <family val="2"/>
    </font>
    <font>
      <sz val="12"/>
      <color rgb="FF575756"/>
      <name val="Arial"/>
      <family val="2"/>
    </font>
    <font>
      <sz val="12"/>
      <color theme="0"/>
      <name val="Arial"/>
      <family val="2"/>
    </font>
    <font>
      <sz val="10"/>
      <color rgb="FF575756"/>
      <name val="Arial"/>
      <family val="2"/>
    </font>
    <font>
      <b/>
      <sz val="10"/>
      <color rgb="FF575756"/>
      <name val="Arial"/>
      <family val="2"/>
    </font>
    <font>
      <sz val="12"/>
      <color theme="1"/>
      <name val="Arial"/>
      <family val="2"/>
    </font>
    <font>
      <b/>
      <sz val="12"/>
      <color theme="1"/>
      <name val="Arial"/>
      <family val="2"/>
    </font>
    <font>
      <u/>
      <sz val="12"/>
      <color theme="10"/>
      <name val="Arial"/>
      <family val="2"/>
    </font>
    <font>
      <i/>
      <sz val="9"/>
      <color rgb="FFFF0000"/>
      <name val="Arial"/>
      <family val="2"/>
    </font>
    <font>
      <b/>
      <u/>
      <sz val="12"/>
      <color rgb="FF575756"/>
      <name val="Arial"/>
      <family val="2"/>
    </font>
    <font>
      <sz val="10"/>
      <name val="Arial"/>
      <family val="2"/>
    </font>
    <font>
      <sz val="10"/>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MS Sans Serif"/>
    </font>
    <font>
      <b/>
      <sz val="14"/>
      <color rgb="FF000000"/>
      <name val="Arial"/>
      <family val="2"/>
    </font>
    <font>
      <sz val="10"/>
      <color theme="0"/>
      <name val="Arial"/>
      <family val="2"/>
    </font>
    <font>
      <b/>
      <sz val="13"/>
      <color theme="3"/>
      <name val="Arial"/>
      <family val="2"/>
    </font>
    <font>
      <sz val="10"/>
      <color theme="1"/>
      <name val="Calibri"/>
      <family val="2"/>
      <scheme val="minor"/>
    </font>
    <font>
      <u/>
      <sz val="10"/>
      <color theme="10"/>
      <name val="Calibri"/>
      <family val="2"/>
      <scheme val="minor"/>
    </font>
    <font>
      <u/>
      <sz val="12"/>
      <color theme="4"/>
      <name val="Arial"/>
      <family val="2"/>
    </font>
    <font>
      <u/>
      <sz val="12"/>
      <color rgb="FF0090D3"/>
      <name val="Arial"/>
      <family val="2"/>
    </font>
    <font>
      <sz val="12"/>
      <color rgb="FF434342"/>
      <name val="Arial"/>
      <family val="2"/>
    </font>
    <font>
      <b/>
      <sz val="12"/>
      <color rgb="FF434342"/>
      <name val="Arial"/>
      <family val="2"/>
    </font>
  </fonts>
  <fills count="33">
    <fill>
      <patternFill patternType="none"/>
    </fill>
    <fill>
      <patternFill patternType="gray125"/>
    </fill>
    <fill>
      <patternFill patternType="solid">
        <fgColor indexed="9"/>
        <bgColor indexed="64"/>
      </patternFill>
    </fill>
    <fill>
      <patternFill patternType="solid">
        <fgColor rgb="FF999999"/>
      </patternFill>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61BAE8"/>
        <bgColor indexed="64"/>
      </patternFill>
    </fill>
    <fill>
      <patternFill patternType="solid">
        <fgColor theme="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0082CA"/>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rgb="FF0082CA"/>
      </bottom>
      <diagonal/>
    </border>
  </borders>
  <cellStyleXfs count="83">
    <xf numFmtId="0" fontId="0"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 fillId="0" borderId="0"/>
    <xf numFmtId="0" fontId="12" fillId="0" borderId="0"/>
    <xf numFmtId="0" fontId="4" fillId="0" borderId="0"/>
    <xf numFmtId="9" fontId="2" fillId="0" borderId="0" applyFont="0" applyFill="0" applyBorder="0" applyAlignment="0" applyProtection="0"/>
    <xf numFmtId="0" fontId="21" fillId="3" borderId="2" applyProtection="0">
      <alignment horizontal="center" vertical="center"/>
    </xf>
    <xf numFmtId="43" fontId="45" fillId="0" borderId="0" applyFont="0" applyFill="0" applyBorder="0" applyAlignment="0" applyProtection="0"/>
    <xf numFmtId="0" fontId="46" fillId="0" borderId="0" applyNumberFormat="0" applyBorder="0" applyProtection="0"/>
    <xf numFmtId="0" fontId="1" fillId="0" borderId="0"/>
    <xf numFmtId="0" fontId="2" fillId="0" borderId="0"/>
    <xf numFmtId="0" fontId="1"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20" borderId="0" applyNumberFormat="0" applyBorder="0" applyAlignment="0" applyProtection="0"/>
    <xf numFmtId="0" fontId="49" fillId="21"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8" borderId="0" applyNumberFormat="0" applyBorder="0" applyAlignment="0" applyProtection="0"/>
    <xf numFmtId="0" fontId="50" fillId="12" borderId="0" applyNumberFormat="0" applyBorder="0" applyAlignment="0" applyProtection="0"/>
    <xf numFmtId="0" fontId="51" fillId="29" borderId="15" applyNumberFormat="0" applyAlignment="0" applyProtection="0"/>
    <xf numFmtId="0" fontId="52" fillId="30" borderId="16" applyNumberFormat="0" applyAlignment="0" applyProtection="0"/>
    <xf numFmtId="0" fontId="53" fillId="0" borderId="0" applyNumberFormat="0" applyFill="0" applyBorder="0" applyAlignment="0" applyProtection="0"/>
    <xf numFmtId="0" fontId="54" fillId="13" borderId="0" applyNumberFormat="0" applyBorder="0" applyAlignment="0" applyProtection="0"/>
    <xf numFmtId="0" fontId="55" fillId="0" borderId="17" applyNumberFormat="0" applyFill="0" applyAlignment="0" applyProtection="0"/>
    <xf numFmtId="0" fontId="56" fillId="0" borderId="18" applyNumberFormat="0" applyFill="0" applyAlignment="0" applyProtection="0"/>
    <xf numFmtId="0" fontId="57" fillId="0" borderId="19" applyNumberFormat="0" applyFill="0" applyAlignment="0" applyProtection="0"/>
    <xf numFmtId="0" fontId="57" fillId="0" borderId="0" applyNumberFormat="0" applyFill="0" applyBorder="0" applyAlignment="0" applyProtection="0"/>
    <xf numFmtId="0" fontId="58" fillId="16" borderId="15" applyNumberFormat="0" applyAlignment="0" applyProtection="0"/>
    <xf numFmtId="0" fontId="59" fillId="0" borderId="20" applyNumberFormat="0" applyFill="0" applyAlignment="0" applyProtection="0"/>
    <xf numFmtId="0" fontId="60" fillId="31" borderId="0" applyNumberFormat="0" applyBorder="0" applyAlignment="0" applyProtection="0"/>
    <xf numFmtId="0" fontId="2" fillId="32" borderId="21" applyNumberFormat="0" applyFont="0" applyAlignment="0" applyProtection="0"/>
    <xf numFmtId="0" fontId="61" fillId="29" borderId="22" applyNumberFormat="0" applyAlignment="0" applyProtection="0"/>
    <xf numFmtId="0" fontId="62" fillId="0" borderId="0" applyNumberFormat="0" applyFill="0" applyBorder="0" applyAlignment="0" applyProtection="0"/>
    <xf numFmtId="0" fontId="63" fillId="0" borderId="23" applyNumberFormat="0" applyFill="0" applyAlignment="0" applyProtection="0"/>
    <xf numFmtId="0" fontId="64" fillId="0" borderId="0" applyNumberFormat="0" applyFill="0" applyBorder="0" applyAlignment="0" applyProtection="0"/>
    <xf numFmtId="43" fontId="2" fillId="0" borderId="0" applyFont="0" applyFill="0" applyBorder="0" applyAlignment="0" applyProtection="0"/>
    <xf numFmtId="0" fontId="65" fillId="0" borderId="0"/>
    <xf numFmtId="9" fontId="65" fillId="0" borderId="0" applyFont="0" applyFill="0" applyBorder="0" applyAlignment="0" applyProtection="0"/>
    <xf numFmtId="0" fontId="66" fillId="0" borderId="0" applyNumberFormat="0" applyBorder="0" applyProtection="0"/>
    <xf numFmtId="0" fontId="47" fillId="0" borderId="0" applyNumberFormat="0" applyFill="0" applyBorder="0" applyAlignment="0" applyProtection="0"/>
    <xf numFmtId="0" fontId="47" fillId="0" borderId="0" applyNumberFormat="0" applyFill="0" applyBorder="0" applyAlignment="0" applyProtection="0"/>
    <xf numFmtId="0" fontId="46" fillId="0" borderId="0" applyNumberFormat="0" applyBorder="0" applyProtection="0"/>
    <xf numFmtId="0" fontId="46" fillId="0" borderId="0" applyNumberFormat="0" applyBorder="0" applyProtection="0"/>
    <xf numFmtId="9" fontId="65" fillId="0" borderId="0" applyFont="0" applyFill="0" applyBorder="0" applyAlignment="0" applyProtection="0"/>
    <xf numFmtId="0" fontId="46" fillId="0" borderId="0" applyNumberFormat="0" applyBorder="0" applyProtection="0"/>
    <xf numFmtId="0" fontId="46" fillId="0" borderId="0" applyNumberFormat="0" applyBorder="0" applyProtection="0"/>
    <xf numFmtId="0" fontId="66" fillId="0" borderId="0" applyNumberFormat="0" applyBorder="0" applyProtection="0"/>
    <xf numFmtId="0" fontId="2" fillId="0" borderId="0"/>
    <xf numFmtId="43" fontId="2" fillId="0" borderId="0" applyFont="0" applyFill="0" applyBorder="0" applyAlignment="0" applyProtection="0"/>
    <xf numFmtId="0" fontId="67" fillId="9" borderId="0" applyNumberFormat="0" applyBorder="0" applyAlignment="0" applyProtection="0"/>
    <xf numFmtId="0" fontId="26" fillId="10" borderId="0" applyNumberFormat="0" applyBorder="0" applyAlignment="0" applyProtection="0"/>
    <xf numFmtId="0" fontId="68" fillId="0" borderId="14" applyNumberFormat="0" applyFill="0" applyAlignment="0" applyProtection="0"/>
    <xf numFmtId="4" fontId="69" fillId="0" borderId="0">
      <alignment horizontal="left" vertical="top"/>
    </xf>
    <xf numFmtId="0" fontId="46" fillId="0" borderId="0"/>
    <xf numFmtId="39" fontId="70" fillId="0" borderId="0" applyFill="0" applyBorder="0" applyAlignment="0" applyProtection="0"/>
  </cellStyleXfs>
  <cellXfs count="203">
    <xf numFmtId="0" fontId="0" fillId="0" borderId="0" xfId="0"/>
    <xf numFmtId="0" fontId="0" fillId="0" borderId="1" xfId="0" applyBorder="1"/>
    <xf numFmtId="0" fontId="0" fillId="2" borderId="0" xfId="0" applyFill="1"/>
    <xf numFmtId="0" fontId="5" fillId="2" borderId="0" xfId="2" applyFill="1" applyBorder="1" applyAlignment="1" applyProtection="1"/>
    <xf numFmtId="0" fontId="4" fillId="0" borderId="1" xfId="0" applyFont="1" applyBorder="1"/>
    <xf numFmtId="0" fontId="4" fillId="2" borderId="0" xfId="4" applyFill="1"/>
    <xf numFmtId="164" fontId="4" fillId="2" borderId="0" xfId="4" applyNumberFormat="1" applyFill="1"/>
    <xf numFmtId="0" fontId="7" fillId="2" borderId="0" xfId="4" applyFont="1" applyFill="1" applyAlignment="1">
      <alignment horizontal="center"/>
    </xf>
    <xf numFmtId="0" fontId="3" fillId="2" borderId="0" xfId="4" applyFont="1" applyFill="1"/>
    <xf numFmtId="165" fontId="4" fillId="2" borderId="0" xfId="4" applyNumberFormat="1" applyFill="1"/>
    <xf numFmtId="0" fontId="4" fillId="2" borderId="0" xfId="4" applyFill="1" applyAlignment="1">
      <alignment wrapText="1"/>
    </xf>
    <xf numFmtId="0" fontId="0" fillId="0" borderId="0" xfId="0" applyAlignment="1">
      <alignment horizontal="center"/>
    </xf>
    <xf numFmtId="0" fontId="23" fillId="4" borderId="0" xfId="4" applyFont="1" applyFill="1" applyAlignment="1">
      <alignment vertical="center"/>
    </xf>
    <xf numFmtId="0" fontId="0" fillId="4" borderId="0" xfId="0" applyFill="1"/>
    <xf numFmtId="0" fontId="24" fillId="4" borderId="0" xfId="0" applyFont="1" applyFill="1" applyAlignment="1">
      <alignment horizontal="left"/>
    </xf>
    <xf numFmtId="17" fontId="25" fillId="4" borderId="0" xfId="5" applyNumberFormat="1" applyFont="1" applyFill="1"/>
    <xf numFmtId="0" fontId="26" fillId="4" borderId="0" xfId="0" applyFont="1" applyFill="1"/>
    <xf numFmtId="0" fontId="6" fillId="4" borderId="0" xfId="0" applyFont="1" applyFill="1"/>
    <xf numFmtId="3" fontId="9" fillId="4" borderId="0" xfId="0" applyNumberFormat="1" applyFont="1" applyFill="1" applyAlignment="1">
      <alignment horizontal="center"/>
    </xf>
    <xf numFmtId="3" fontId="0" fillId="4" borderId="0" xfId="0" applyNumberFormat="1" applyFill="1" applyAlignment="1">
      <alignment horizontal="center"/>
    </xf>
    <xf numFmtId="165" fontId="13" fillId="4" borderId="0" xfId="7" applyNumberFormat="1" applyFont="1" applyFill="1" applyAlignment="1">
      <alignment horizontal="center"/>
    </xf>
    <xf numFmtId="0" fontId="0" fillId="4" borderId="0" xfId="0" applyFill="1" applyAlignment="1">
      <alignment horizontal="center"/>
    </xf>
    <xf numFmtId="0" fontId="27" fillId="4" borderId="0" xfId="0" applyFont="1" applyFill="1"/>
    <xf numFmtId="0" fontId="28" fillId="4" borderId="0" xfId="0" applyFont="1" applyFill="1"/>
    <xf numFmtId="10" fontId="0" fillId="4" borderId="0" xfId="0" applyNumberFormat="1" applyFill="1" applyAlignment="1">
      <alignment horizontal="center"/>
    </xf>
    <xf numFmtId="0" fontId="10" fillId="4" borderId="0" xfId="0" applyFont="1" applyFill="1"/>
    <xf numFmtId="3" fontId="10" fillId="4" borderId="0" xfId="0" applyNumberFormat="1" applyFont="1" applyFill="1"/>
    <xf numFmtId="0" fontId="10" fillId="4" borderId="0" xfId="0" applyFont="1" applyFill="1" applyAlignment="1">
      <alignment wrapText="1"/>
    </xf>
    <xf numFmtId="0" fontId="0" fillId="4" borderId="0" xfId="0" applyFill="1" applyAlignment="1">
      <alignment wrapText="1"/>
    </xf>
    <xf numFmtId="0" fontId="11" fillId="4" borderId="0" xfId="0" applyFont="1" applyFill="1"/>
    <xf numFmtId="0" fontId="29" fillId="4" borderId="0" xfId="0" applyFont="1" applyFill="1"/>
    <xf numFmtId="0" fontId="22" fillId="4" borderId="0" xfId="0" applyFont="1" applyFill="1"/>
    <xf numFmtId="0" fontId="30" fillId="0" borderId="2" xfId="0" applyFont="1" applyBorder="1"/>
    <xf numFmtId="0" fontId="30" fillId="4" borderId="2" xfId="0" applyFont="1" applyFill="1" applyBorder="1"/>
    <xf numFmtId="3" fontId="0" fillId="4" borderId="0" xfId="0" applyNumberFormat="1" applyFill="1"/>
    <xf numFmtId="3" fontId="0" fillId="0" borderId="0" xfId="0" applyNumberFormat="1"/>
    <xf numFmtId="0" fontId="31" fillId="4" borderId="0" xfId="6" applyFont="1" applyFill="1" applyAlignment="1">
      <alignment vertical="center"/>
    </xf>
    <xf numFmtId="0" fontId="32" fillId="4" borderId="0" xfId="0" applyFont="1" applyFill="1" applyAlignment="1">
      <alignment horizontal="left"/>
    </xf>
    <xf numFmtId="0" fontId="16" fillId="4" borderId="0" xfId="0" applyFont="1" applyFill="1"/>
    <xf numFmtId="0" fontId="33" fillId="2" borderId="0" xfId="0" applyFont="1" applyFill="1"/>
    <xf numFmtId="0" fontId="17" fillId="2" borderId="0" xfId="0" applyFont="1" applyFill="1"/>
    <xf numFmtId="164" fontId="17" fillId="2" borderId="0" xfId="0" applyNumberFormat="1" applyFont="1" applyFill="1"/>
    <xf numFmtId="17" fontId="34" fillId="5" borderId="2" xfId="0" applyNumberFormat="1" applyFont="1" applyFill="1" applyBorder="1" applyAlignment="1">
      <alignment horizontal="center" vertical="center"/>
    </xf>
    <xf numFmtId="17" fontId="34" fillId="5" borderId="2" xfId="0" applyNumberFormat="1" applyFont="1" applyFill="1" applyBorder="1" applyAlignment="1">
      <alignment horizontal="center" vertical="center" wrapText="1"/>
    </xf>
    <xf numFmtId="3" fontId="16" fillId="2" borderId="0" xfId="0" applyNumberFormat="1" applyFont="1" applyFill="1"/>
    <xf numFmtId="9" fontId="16" fillId="2" borderId="0" xfId="7" applyFont="1" applyFill="1"/>
    <xf numFmtId="0" fontId="35" fillId="4" borderId="0" xfId="6" applyFont="1" applyFill="1" applyAlignment="1">
      <alignment vertical="center"/>
    </xf>
    <xf numFmtId="17" fontId="33" fillId="4" borderId="0" xfId="5" applyNumberFormat="1" applyFont="1" applyFill="1"/>
    <xf numFmtId="0" fontId="36" fillId="4" borderId="0" xfId="0" applyFont="1" applyFill="1"/>
    <xf numFmtId="0" fontId="36" fillId="4" borderId="0" xfId="0" applyFont="1" applyFill="1" applyAlignment="1">
      <alignment vertical="center"/>
    </xf>
    <xf numFmtId="0" fontId="33" fillId="4" borderId="0" xfId="0" applyFont="1" applyFill="1" applyAlignment="1">
      <alignment vertical="center"/>
    </xf>
    <xf numFmtId="166" fontId="36" fillId="6" borderId="2" xfId="0" applyNumberFormat="1" applyFont="1" applyFill="1" applyBorder="1" applyAlignment="1">
      <alignment horizontal="left"/>
    </xf>
    <xf numFmtId="166" fontId="36" fillId="7" borderId="2" xfId="0" applyNumberFormat="1" applyFont="1" applyFill="1" applyBorder="1" applyAlignment="1">
      <alignment horizontal="left" vertical="top"/>
    </xf>
    <xf numFmtId="3" fontId="36" fillId="6" borderId="2" xfId="0" applyNumberFormat="1" applyFont="1" applyFill="1" applyBorder="1" applyAlignment="1">
      <alignment horizontal="right"/>
    </xf>
    <xf numFmtId="3" fontId="36" fillId="7" borderId="2" xfId="0" applyNumberFormat="1" applyFont="1" applyFill="1" applyBorder="1" applyAlignment="1">
      <alignment horizontal="right" vertical="top"/>
    </xf>
    <xf numFmtId="165" fontId="36" fillId="6" borderId="2" xfId="7" applyNumberFormat="1" applyFont="1" applyFill="1" applyBorder="1" applyAlignment="1">
      <alignment horizontal="right"/>
    </xf>
    <xf numFmtId="165" fontId="36" fillId="7" borderId="2" xfId="7" applyNumberFormat="1" applyFont="1" applyFill="1" applyBorder="1" applyAlignment="1">
      <alignment horizontal="right" vertical="top"/>
    </xf>
    <xf numFmtId="0" fontId="30" fillId="0" borderId="3" xfId="0" applyFont="1" applyBorder="1"/>
    <xf numFmtId="0" fontId="34" fillId="5" borderId="2" xfId="0" applyFont="1" applyFill="1" applyBorder="1"/>
    <xf numFmtId="17" fontId="34" fillId="5" borderId="2" xfId="0" applyNumberFormat="1" applyFont="1" applyFill="1" applyBorder="1" applyAlignment="1">
      <alignment horizontal="center"/>
    </xf>
    <xf numFmtId="0" fontId="34" fillId="5" borderId="2" xfId="0" applyFont="1" applyFill="1" applyBorder="1" applyAlignment="1">
      <alignment horizontal="center"/>
    </xf>
    <xf numFmtId="0" fontId="34" fillId="8" borderId="0" xfId="0" applyFont="1" applyFill="1"/>
    <xf numFmtId="0" fontId="36" fillId="6" borderId="2" xfId="0" applyFont="1" applyFill="1" applyBorder="1"/>
    <xf numFmtId="0" fontId="36" fillId="7" borderId="2" xfId="0" applyFont="1" applyFill="1" applyBorder="1"/>
    <xf numFmtId="0" fontId="33" fillId="7" borderId="2" xfId="0" applyFont="1" applyFill="1" applyBorder="1"/>
    <xf numFmtId="0" fontId="33" fillId="6" borderId="2" xfId="0" applyFont="1" applyFill="1" applyBorder="1"/>
    <xf numFmtId="0" fontId="34" fillId="0" borderId="2" xfId="0" applyFont="1" applyBorder="1"/>
    <xf numFmtId="0" fontId="3" fillId="0" borderId="0" xfId="0" applyFont="1"/>
    <xf numFmtId="0" fontId="3" fillId="4" borderId="0" xfId="0" applyFont="1" applyFill="1"/>
    <xf numFmtId="0" fontId="36" fillId="6" borderId="2" xfId="0" applyFont="1" applyFill="1" applyBorder="1" applyAlignment="1">
      <alignment horizontal="right"/>
    </xf>
    <xf numFmtId="3" fontId="36" fillId="7" borderId="2" xfId="0" applyNumberFormat="1" applyFont="1" applyFill="1" applyBorder="1" applyAlignment="1">
      <alignment horizontal="right"/>
    </xf>
    <xf numFmtId="0" fontId="36" fillId="7" borderId="2" xfId="0" applyFont="1" applyFill="1" applyBorder="1" applyAlignment="1">
      <alignment horizontal="right"/>
    </xf>
    <xf numFmtId="165" fontId="36" fillId="7" borderId="2" xfId="7" applyNumberFormat="1" applyFont="1" applyFill="1" applyBorder="1" applyAlignment="1">
      <alignment horizontal="right"/>
    </xf>
    <xf numFmtId="3" fontId="33" fillId="7" borderId="2" xfId="0" applyNumberFormat="1" applyFont="1" applyFill="1" applyBorder="1" applyAlignment="1">
      <alignment horizontal="right"/>
    </xf>
    <xf numFmtId="0" fontId="33" fillId="7" borderId="2" xfId="0" applyFont="1" applyFill="1" applyBorder="1" applyAlignment="1">
      <alignment horizontal="right"/>
    </xf>
    <xf numFmtId="165" fontId="33" fillId="7" borderId="2" xfId="7" applyNumberFormat="1" applyFont="1" applyFill="1" applyBorder="1" applyAlignment="1">
      <alignment horizontal="right"/>
    </xf>
    <xf numFmtId="0" fontId="34" fillId="8" borderId="0" xfId="0" applyFont="1" applyFill="1" applyAlignment="1">
      <alignment horizontal="right"/>
    </xf>
    <xf numFmtId="3" fontId="33" fillId="6" borderId="2" xfId="0" applyNumberFormat="1" applyFont="1" applyFill="1" applyBorder="1" applyAlignment="1">
      <alignment horizontal="right"/>
    </xf>
    <xf numFmtId="0" fontId="33" fillId="6" borderId="2" xfId="0" applyFont="1" applyFill="1" applyBorder="1" applyAlignment="1">
      <alignment horizontal="right"/>
    </xf>
    <xf numFmtId="165" fontId="33" fillId="6" borderId="2" xfId="7" applyNumberFormat="1" applyFont="1" applyFill="1" applyBorder="1" applyAlignment="1">
      <alignment horizontal="right"/>
    </xf>
    <xf numFmtId="0" fontId="34" fillId="8" borderId="5" xfId="0" applyFont="1" applyFill="1" applyBorder="1" applyAlignment="1">
      <alignment horizontal="right"/>
    </xf>
    <xf numFmtId="0" fontId="34" fillId="8" borderId="6" xfId="0" applyFont="1" applyFill="1" applyBorder="1" applyAlignment="1">
      <alignment horizontal="right"/>
    </xf>
    <xf numFmtId="3" fontId="34" fillId="3" borderId="2" xfId="8" applyNumberFormat="1" applyFont="1" applyAlignment="1">
      <alignment horizontal="right" vertical="center"/>
    </xf>
    <xf numFmtId="165" fontId="34" fillId="3" borderId="2" xfId="8" applyNumberFormat="1" applyFont="1" applyAlignment="1">
      <alignment horizontal="right" vertical="center"/>
    </xf>
    <xf numFmtId="0" fontId="37" fillId="0" borderId="2" xfId="0" applyFont="1" applyBorder="1" applyAlignment="1">
      <alignment horizontal="right"/>
    </xf>
    <xf numFmtId="9" fontId="37" fillId="0" borderId="2" xfId="7" applyFont="1" applyFill="1" applyBorder="1" applyAlignment="1">
      <alignment horizontal="right"/>
    </xf>
    <xf numFmtId="0" fontId="38" fillId="4" borderId="0" xfId="0" applyFont="1" applyFill="1" applyAlignment="1">
      <alignment vertical="center"/>
    </xf>
    <xf numFmtId="0" fontId="38" fillId="4" borderId="0" xfId="0" applyFont="1" applyFill="1"/>
    <xf numFmtId="0" fontId="38" fillId="0" borderId="0" xfId="0" applyFont="1"/>
    <xf numFmtId="0" fontId="39" fillId="4" borderId="0" xfId="0" applyFont="1" applyFill="1" applyAlignment="1">
      <alignment vertical="center"/>
    </xf>
    <xf numFmtId="17" fontId="39" fillId="4" borderId="0" xfId="5" applyNumberFormat="1" applyFont="1" applyFill="1"/>
    <xf numFmtId="0" fontId="16" fillId="2" borderId="0" xfId="4" applyFont="1" applyFill="1" applyAlignment="1">
      <alignment vertical="center"/>
    </xf>
    <xf numFmtId="0" fontId="34" fillId="5" borderId="2" xfId="0" applyFont="1" applyFill="1" applyBorder="1" applyAlignment="1">
      <alignment horizontal="center" vertical="center"/>
    </xf>
    <xf numFmtId="0" fontId="34" fillId="5" borderId="2" xfId="0" applyFont="1" applyFill="1" applyBorder="1" applyAlignment="1">
      <alignment horizontal="center" vertical="center" wrapText="1"/>
    </xf>
    <xf numFmtId="164" fontId="16" fillId="2" borderId="0" xfId="4" applyNumberFormat="1" applyFont="1" applyFill="1" applyAlignment="1">
      <alignment vertical="center"/>
    </xf>
    <xf numFmtId="0" fontId="16" fillId="2" borderId="0" xfId="4" applyFont="1" applyFill="1"/>
    <xf numFmtId="0" fontId="36" fillId="6" borderId="2" xfId="0" applyFont="1" applyFill="1" applyBorder="1" applyAlignment="1">
      <alignment horizontal="left"/>
    </xf>
    <xf numFmtId="9" fontId="36" fillId="6" borderId="2" xfId="7" applyFont="1" applyFill="1" applyBorder="1" applyAlignment="1">
      <alignment horizontal="right"/>
    </xf>
    <xf numFmtId="0" fontId="36" fillId="7" borderId="2" xfId="0" applyFont="1" applyFill="1" applyBorder="1" applyAlignment="1">
      <alignment horizontal="left"/>
    </xf>
    <xf numFmtId="3" fontId="16" fillId="2" borderId="0" xfId="4" applyNumberFormat="1" applyFont="1" applyFill="1"/>
    <xf numFmtId="0" fontId="17" fillId="2" borderId="0" xfId="4" applyFont="1" applyFill="1"/>
    <xf numFmtId="0" fontId="18" fillId="2" borderId="0" xfId="4" applyFont="1" applyFill="1" applyAlignment="1">
      <alignment horizontal="center"/>
    </xf>
    <xf numFmtId="10" fontId="16" fillId="2" borderId="0" xfId="4" applyNumberFormat="1" applyFont="1" applyFill="1"/>
    <xf numFmtId="0" fontId="40" fillId="4" borderId="0" xfId="5" applyFont="1" applyFill="1" applyAlignment="1">
      <alignment horizontal="left" vertical="top"/>
    </xf>
    <xf numFmtId="0" fontId="16" fillId="0" borderId="0" xfId="0" applyFont="1"/>
    <xf numFmtId="0" fontId="35" fillId="4" borderId="7" xfId="6" applyFont="1" applyFill="1" applyBorder="1" applyAlignment="1">
      <alignment vertical="center"/>
    </xf>
    <xf numFmtId="0" fontId="41" fillId="4" borderId="0" xfId="6" applyFont="1" applyFill="1" applyAlignment="1">
      <alignment vertical="center"/>
    </xf>
    <xf numFmtId="0" fontId="40" fillId="2" borderId="0" xfId="4" applyFont="1" applyFill="1" applyAlignment="1">
      <alignment horizontal="left" vertical="top" wrapText="1"/>
    </xf>
    <xf numFmtId="0" fontId="33" fillId="4" borderId="0" xfId="6" applyFont="1" applyFill="1" applyAlignment="1">
      <alignment vertical="center"/>
    </xf>
    <xf numFmtId="0" fontId="36" fillId="4" borderId="0" xfId="5" applyFont="1" applyFill="1" applyAlignment="1">
      <alignment horizontal="left" vertical="top"/>
    </xf>
    <xf numFmtId="0" fontId="36" fillId="0" borderId="0" xfId="0" applyFont="1"/>
    <xf numFmtId="0" fontId="40" fillId="7" borderId="0" xfId="5" applyFont="1" applyFill="1" applyAlignment="1">
      <alignment horizontal="left" vertical="top"/>
    </xf>
    <xf numFmtId="0" fontId="40" fillId="6" borderId="0" xfId="6" applyFont="1" applyFill="1" applyAlignment="1" applyProtection="1">
      <alignment horizontal="left" vertical="center"/>
      <protection locked="0"/>
    </xf>
    <xf numFmtId="0" fontId="40" fillId="6" borderId="0" xfId="5" applyFont="1" applyFill="1" applyAlignment="1">
      <alignment horizontal="left" vertical="top"/>
    </xf>
    <xf numFmtId="0" fontId="16" fillId="6" borderId="0" xfId="0" applyFont="1" applyFill="1"/>
    <xf numFmtId="0" fontId="40" fillId="6" borderId="8" xfId="5" applyFont="1" applyFill="1" applyBorder="1" applyAlignment="1">
      <alignment horizontal="left" vertical="top"/>
    </xf>
    <xf numFmtId="0" fontId="16" fillId="7" borderId="0" xfId="0" applyFont="1" applyFill="1"/>
    <xf numFmtId="0" fontId="40" fillId="7" borderId="8" xfId="5" applyFont="1" applyFill="1" applyBorder="1" applyAlignment="1">
      <alignment horizontal="left" vertical="top"/>
    </xf>
    <xf numFmtId="0" fontId="40" fillId="6" borderId="9" xfId="5" applyFont="1" applyFill="1" applyBorder="1" applyAlignment="1">
      <alignment horizontal="left" vertical="top"/>
    </xf>
    <xf numFmtId="0" fontId="16" fillId="6" borderId="9" xfId="0" applyFont="1" applyFill="1" applyBorder="1"/>
    <xf numFmtId="0" fontId="40" fillId="6" borderId="10" xfId="5" applyFont="1" applyFill="1" applyBorder="1" applyAlignment="1">
      <alignment horizontal="left" vertical="top"/>
    </xf>
    <xf numFmtId="0" fontId="40" fillId="4" borderId="0" xfId="5" applyFont="1" applyFill="1" applyAlignment="1">
      <alignment vertical="top" wrapText="1"/>
    </xf>
    <xf numFmtId="0" fontId="34" fillId="3" borderId="2" xfId="8" applyFont="1" applyAlignment="1">
      <alignment horizontal="left" vertical="center"/>
    </xf>
    <xf numFmtId="166" fontId="36" fillId="6" borderId="3" xfId="0" applyNumberFormat="1" applyFont="1" applyFill="1" applyBorder="1" applyAlignment="1">
      <alignment horizontal="left"/>
    </xf>
    <xf numFmtId="166" fontId="36" fillId="7" borderId="3" xfId="0" applyNumberFormat="1" applyFont="1" applyFill="1" applyBorder="1" applyAlignment="1">
      <alignment horizontal="left" vertical="top"/>
    </xf>
    <xf numFmtId="0" fontId="34" fillId="8" borderId="3" xfId="0" applyFont="1" applyFill="1" applyBorder="1" applyAlignment="1">
      <alignment horizontal="center"/>
    </xf>
    <xf numFmtId="0" fontId="34" fillId="8" borderId="4" xfId="0" applyFont="1" applyFill="1" applyBorder="1" applyAlignment="1">
      <alignment horizontal="center"/>
    </xf>
    <xf numFmtId="0" fontId="36" fillId="7" borderId="0" xfId="5" applyFont="1" applyFill="1" applyAlignment="1">
      <alignment horizontal="right" vertical="top"/>
    </xf>
    <xf numFmtId="0" fontId="36" fillId="7" borderId="8" xfId="5" applyFont="1" applyFill="1" applyBorder="1" applyAlignment="1">
      <alignment horizontal="right" vertical="top"/>
    </xf>
    <xf numFmtId="0" fontId="40" fillId="6" borderId="0" xfId="3" applyFont="1" applyFill="1" applyBorder="1" applyAlignment="1" applyProtection="1">
      <alignment horizontal="right" vertical="top"/>
    </xf>
    <xf numFmtId="0" fontId="16" fillId="6" borderId="0" xfId="0" applyFont="1" applyFill="1" applyAlignment="1">
      <alignment horizontal="right"/>
    </xf>
    <xf numFmtId="0" fontId="40" fillId="6" borderId="0" xfId="5" applyFont="1" applyFill="1" applyAlignment="1">
      <alignment horizontal="right" vertical="top"/>
    </xf>
    <xf numFmtId="0" fontId="40" fillId="6" borderId="8" xfId="5" applyFont="1" applyFill="1" applyBorder="1" applyAlignment="1">
      <alignment horizontal="right" vertical="top"/>
    </xf>
    <xf numFmtId="0" fontId="40" fillId="7" borderId="0" xfId="3" applyFont="1" applyFill="1" applyBorder="1" applyAlignment="1" applyProtection="1">
      <alignment horizontal="right" vertical="top"/>
    </xf>
    <xf numFmtId="0" fontId="16" fillId="7" borderId="0" xfId="0" applyFont="1" applyFill="1" applyAlignment="1">
      <alignment horizontal="right"/>
    </xf>
    <xf numFmtId="0" fontId="40" fillId="7" borderId="0" xfId="6" applyFont="1" applyFill="1" applyAlignment="1" applyProtection="1">
      <alignment horizontal="right" vertical="center"/>
      <protection locked="0"/>
    </xf>
    <xf numFmtId="0" fontId="40" fillId="7" borderId="0" xfId="5" applyFont="1" applyFill="1" applyAlignment="1">
      <alignment horizontal="right" vertical="top"/>
    </xf>
    <xf numFmtId="0" fontId="40" fillId="7" borderId="8" xfId="5" applyFont="1" applyFill="1" applyBorder="1" applyAlignment="1">
      <alignment horizontal="right" vertical="top"/>
    </xf>
    <xf numFmtId="17" fontId="34" fillId="5" borderId="13" xfId="0" applyNumberFormat="1" applyFont="1" applyFill="1" applyBorder="1" applyAlignment="1">
      <alignment horizontal="center"/>
    </xf>
    <xf numFmtId="0" fontId="40" fillId="4" borderId="11" xfId="0" applyFont="1" applyFill="1" applyBorder="1" applyAlignment="1">
      <alignment horizontal="left"/>
    </xf>
    <xf numFmtId="0" fontId="40" fillId="4" borderId="11" xfId="0" applyFont="1" applyFill="1" applyBorder="1"/>
    <xf numFmtId="166" fontId="36" fillId="7" borderId="2" xfId="0" applyNumberFormat="1" applyFont="1" applyFill="1" applyBorder="1" applyAlignment="1">
      <alignment horizontal="left"/>
    </xf>
    <xf numFmtId="3" fontId="36" fillId="6" borderId="2" xfId="0" applyNumberFormat="1" applyFont="1" applyFill="1" applyBorder="1" applyAlignment="1">
      <alignment horizontal="right" vertical="top"/>
    </xf>
    <xf numFmtId="165" fontId="36" fillId="6" borderId="2" xfId="7" applyNumberFormat="1" applyFont="1" applyFill="1" applyBorder="1" applyAlignment="1">
      <alignment horizontal="right" vertical="top"/>
    </xf>
    <xf numFmtId="17" fontId="0" fillId="0" borderId="0" xfId="0" quotePrefix="1" applyNumberFormat="1"/>
    <xf numFmtId="167" fontId="0" fillId="0" borderId="0" xfId="9" applyNumberFormat="1" applyFont="1"/>
    <xf numFmtId="43" fontId="0" fillId="0" borderId="0" xfId="0" applyNumberFormat="1"/>
    <xf numFmtId="0" fontId="2" fillId="0" borderId="0" xfId="0" applyFont="1"/>
    <xf numFmtId="17" fontId="0" fillId="0" borderId="0" xfId="0" quotePrefix="1" applyNumberFormat="1" applyAlignment="1">
      <alignment horizontal="left"/>
    </xf>
    <xf numFmtId="0" fontId="36" fillId="0" borderId="0" xfId="0" applyFont="1" applyAlignment="1">
      <alignment horizontal="left" vertical="top" wrapText="1"/>
    </xf>
    <xf numFmtId="0" fontId="36" fillId="0" borderId="0" xfId="10" applyFont="1" applyAlignment="1">
      <alignment horizontal="left" vertical="top" wrapText="1"/>
    </xf>
    <xf numFmtId="0" fontId="23" fillId="4" borderId="0" xfId="4" applyFont="1" applyFill="1" applyAlignment="1">
      <alignment horizontal="left" vertical="center" wrapText="1"/>
    </xf>
    <xf numFmtId="0" fontId="23" fillId="4" borderId="0" xfId="4" applyFont="1" applyFill="1" applyAlignment="1">
      <alignment horizontal="left" vertical="center"/>
    </xf>
    <xf numFmtId="0" fontId="43" fillId="4" borderId="0" xfId="0" applyFont="1" applyFill="1" applyAlignment="1">
      <alignment vertical="top" wrapText="1"/>
    </xf>
    <xf numFmtId="0" fontId="43" fillId="4" borderId="0" xfId="0" applyFont="1" applyFill="1" applyAlignment="1">
      <alignment wrapText="1"/>
    </xf>
    <xf numFmtId="17" fontId="0" fillId="0" borderId="0" xfId="0" applyNumberFormat="1" applyAlignment="1">
      <alignment horizontal="left"/>
    </xf>
    <xf numFmtId="0" fontId="35" fillId="4" borderId="7" xfId="81" applyFont="1" applyFill="1" applyBorder="1" applyAlignment="1">
      <alignment vertical="center"/>
    </xf>
    <xf numFmtId="4" fontId="40" fillId="4" borderId="0" xfId="80" applyFont="1" applyFill="1">
      <alignment horizontal="left" vertical="top"/>
    </xf>
    <xf numFmtId="0" fontId="35" fillId="4" borderId="0" xfId="81" applyFont="1" applyFill="1" applyAlignment="1">
      <alignment vertical="center"/>
    </xf>
    <xf numFmtId="4" fontId="40" fillId="4" borderId="0" xfId="80" applyFont="1" applyFill="1" applyAlignment="1">
      <alignment vertical="top" wrapText="1"/>
    </xf>
    <xf numFmtId="4" fontId="41" fillId="4" borderId="0" xfId="80" applyFont="1" applyFill="1" applyAlignment="1">
      <alignment vertical="top"/>
    </xf>
    <xf numFmtId="4" fontId="41" fillId="4" borderId="0" xfId="80" applyFont="1" applyFill="1">
      <alignment horizontal="left" vertical="top"/>
    </xf>
    <xf numFmtId="39" fontId="42" fillId="4" borderId="0" xfId="82" applyFont="1" applyFill="1" applyAlignment="1">
      <alignment horizontal="left" vertical="top"/>
    </xf>
    <xf numFmtId="0" fontId="33" fillId="4" borderId="24" xfId="81" applyFont="1" applyFill="1" applyBorder="1" applyAlignment="1" applyProtection="1">
      <alignment vertical="center"/>
      <protection locked="0"/>
    </xf>
    <xf numFmtId="0" fontId="71" fillId="4" borderId="24" xfId="81" applyFont="1" applyFill="1" applyBorder="1" applyAlignment="1" applyProtection="1">
      <alignment vertical="center"/>
      <protection locked="0"/>
    </xf>
    <xf numFmtId="39" fontId="72" fillId="4" borderId="0" xfId="2" applyNumberFormat="1" applyFont="1" applyFill="1" applyAlignment="1" applyProtection="1">
      <alignment horizontal="left" vertical="top"/>
    </xf>
    <xf numFmtId="3" fontId="16" fillId="4" borderId="0" xfId="0" applyNumberFormat="1" applyFont="1" applyFill="1"/>
    <xf numFmtId="17" fontId="36" fillId="4" borderId="0" xfId="5" applyNumberFormat="1" applyFont="1" applyFill="1"/>
    <xf numFmtId="0" fontId="19" fillId="2" borderId="0" xfId="2" applyFont="1" applyFill="1" applyBorder="1" applyAlignment="1" applyProtection="1">
      <alignment horizontal="left" vertical="center" wrapText="1"/>
    </xf>
    <xf numFmtId="0" fontId="40" fillId="2" borderId="0" xfId="2" applyFont="1" applyFill="1" applyBorder="1" applyAlignment="1" applyProtection="1">
      <alignment horizontal="left" vertical="center" wrapText="1"/>
    </xf>
    <xf numFmtId="0" fontId="23" fillId="4" borderId="0" xfId="4" applyFont="1" applyFill="1" applyAlignment="1">
      <alignment horizontal="left" vertical="center" wrapText="1"/>
    </xf>
    <xf numFmtId="0" fontId="23" fillId="4" borderId="0" xfId="4" applyFont="1" applyFill="1" applyAlignment="1">
      <alignment horizontal="left" vertical="center"/>
    </xf>
    <xf numFmtId="0" fontId="43" fillId="4" borderId="0" xfId="0" applyFont="1" applyFill="1" applyAlignment="1">
      <alignment vertical="top" wrapText="1"/>
    </xf>
    <xf numFmtId="0" fontId="0" fillId="4" borderId="0" xfId="0" applyFill="1"/>
    <xf numFmtId="0" fontId="43" fillId="4" borderId="0" xfId="0" applyFont="1" applyFill="1" applyAlignment="1">
      <alignment wrapText="1"/>
    </xf>
    <xf numFmtId="0" fontId="10" fillId="4" borderId="0" xfId="0" applyFont="1" applyFill="1" applyAlignment="1">
      <alignment wrapText="1"/>
    </xf>
    <xf numFmtId="0" fontId="0" fillId="4" borderId="0" xfId="0" applyFill="1" applyAlignment="1">
      <alignment wrapText="1"/>
    </xf>
    <xf numFmtId="0" fontId="22" fillId="4" borderId="0" xfId="0" applyFont="1" applyFill="1" applyAlignment="1">
      <alignment vertical="top"/>
    </xf>
    <xf numFmtId="0" fontId="44" fillId="2" borderId="0" xfId="4" applyFont="1" applyFill="1" applyAlignment="1">
      <alignment horizontal="center"/>
    </xf>
    <xf numFmtId="0" fontId="36" fillId="0" borderId="0" xfId="10" applyFont="1" applyAlignment="1">
      <alignment horizontal="left" vertical="top" wrapText="1"/>
    </xf>
    <xf numFmtId="3" fontId="36" fillId="6" borderId="0" xfId="0" applyNumberFormat="1" applyFont="1" applyFill="1" applyAlignment="1">
      <alignment horizontal="right"/>
    </xf>
    <xf numFmtId="3" fontId="36" fillId="6" borderId="8" xfId="0" applyNumberFormat="1" applyFont="1" applyFill="1" applyBorder="1" applyAlignment="1">
      <alignment horizontal="right"/>
    </xf>
    <xf numFmtId="17" fontId="34" fillId="5" borderId="11" xfId="0" applyNumberFormat="1" applyFont="1" applyFill="1" applyBorder="1" applyAlignment="1">
      <alignment horizontal="center"/>
    </xf>
    <xf numFmtId="17" fontId="34" fillId="5" borderId="12" xfId="0" applyNumberFormat="1" applyFont="1" applyFill="1" applyBorder="1" applyAlignment="1">
      <alignment horizontal="center"/>
    </xf>
    <xf numFmtId="166" fontId="36" fillId="7" borderId="0" xfId="0" applyNumberFormat="1" applyFont="1" applyFill="1" applyAlignment="1">
      <alignment horizontal="right" vertical="top"/>
    </xf>
    <xf numFmtId="166" fontId="36" fillId="6" borderId="0" xfId="0" applyNumberFormat="1" applyFont="1" applyFill="1" applyAlignment="1">
      <alignment horizontal="right"/>
    </xf>
    <xf numFmtId="3" fontId="36" fillId="7" borderId="0" xfId="0" applyNumberFormat="1" applyFont="1" applyFill="1" applyAlignment="1">
      <alignment horizontal="right" vertical="top"/>
    </xf>
    <xf numFmtId="0" fontId="40" fillId="2" borderId="0" xfId="0" applyFont="1" applyFill="1" applyAlignment="1">
      <alignment horizontal="left" vertical="center" wrapText="1"/>
    </xf>
    <xf numFmtId="0" fontId="40" fillId="2" borderId="0" xfId="4" applyFont="1" applyFill="1" applyAlignment="1">
      <alignment horizontal="left" vertical="top" wrapText="1"/>
    </xf>
    <xf numFmtId="0" fontId="0" fillId="0" borderId="0" xfId="0" applyAlignment="1">
      <alignment horizontal="left" vertical="top"/>
    </xf>
    <xf numFmtId="39" fontId="42" fillId="4" borderId="0" xfId="82" applyFont="1" applyFill="1" applyAlignment="1">
      <alignment horizontal="left" vertical="top"/>
    </xf>
    <xf numFmtId="4" fontId="41" fillId="4" borderId="0" xfId="80" applyFont="1" applyFill="1" applyAlignment="1">
      <alignment horizontal="left" vertical="top" wrapText="1"/>
    </xf>
    <xf numFmtId="0" fontId="73" fillId="4" borderId="0" xfId="20" applyFont="1" applyFill="1" applyAlignment="1">
      <alignment horizontal="left" vertical="top" wrapText="1"/>
    </xf>
    <xf numFmtId="0" fontId="74" fillId="4" borderId="0" xfId="20" applyFont="1" applyFill="1" applyAlignment="1">
      <alignment horizontal="left" vertical="top"/>
    </xf>
    <xf numFmtId="0" fontId="40" fillId="2" borderId="0" xfId="0" applyFont="1" applyFill="1" applyAlignment="1">
      <alignment horizontal="left" wrapText="1"/>
    </xf>
    <xf numFmtId="0" fontId="0" fillId="0" borderId="0" xfId="0"/>
    <xf numFmtId="0" fontId="36" fillId="4" borderId="0" xfId="6" applyFont="1" applyFill="1" applyAlignment="1">
      <alignment horizontal="left" vertical="center" wrapText="1"/>
    </xf>
    <xf numFmtId="0" fontId="36" fillId="7" borderId="0" xfId="3" applyFont="1" applyFill="1" applyBorder="1" applyAlignment="1" applyProtection="1">
      <alignment horizontal="right" vertical="top"/>
    </xf>
    <xf numFmtId="0" fontId="19" fillId="2" borderId="0" xfId="2" applyFont="1" applyFill="1" applyBorder="1" applyAlignment="1" applyProtection="1">
      <alignment horizontal="left" vertical="center" wrapText="1"/>
    </xf>
    <xf numFmtId="0" fontId="40" fillId="2" borderId="0" xfId="0" applyFont="1" applyFill="1" applyAlignment="1">
      <alignment vertical="center" wrapText="1"/>
    </xf>
    <xf numFmtId="0" fontId="40" fillId="4" borderId="11" xfId="0" applyFont="1" applyFill="1" applyBorder="1" applyAlignment="1">
      <alignment horizontal="left"/>
    </xf>
    <xf numFmtId="3" fontId="0" fillId="2" borderId="0" xfId="0" applyNumberFormat="1" applyFill="1"/>
    <xf numFmtId="165" fontId="0" fillId="2" borderId="0" xfId="7" applyNumberFormat="1" applyFont="1" applyFill="1"/>
  </cellXfs>
  <cellStyles count="83">
    <cellStyle name="20% - Accent1 2" xfId="22" xr:uid="{FC4AC4EC-8BD9-46E0-B0A1-CAB069C9F1D3}"/>
    <cellStyle name="20% - Accent1 3" xfId="78" xr:uid="{B188B83F-B743-45C3-8CD2-6CD010F4A9E5}"/>
    <cellStyle name="20% - Accent2 2" xfId="23" xr:uid="{1547C062-0594-48A6-8EFB-4CDD8629A62B}"/>
    <cellStyle name="20% - Accent3 2" xfId="24" xr:uid="{A2484C16-FB90-4E44-93D5-6AEE43F622A4}"/>
    <cellStyle name="20% - Accent4 2" xfId="25" xr:uid="{6000A809-1FCC-46F8-9B85-29A7AC217845}"/>
    <cellStyle name="20% - Accent5 2" xfId="26" xr:uid="{35DC274D-5B18-41ED-9C63-BF6A1514E2C6}"/>
    <cellStyle name="20% - Accent6 2" xfId="27" xr:uid="{BBB3F879-8389-4EDF-9958-43194C999141}"/>
    <cellStyle name="40% - Accent1 2" xfId="28" xr:uid="{4EF928EF-D6A7-463D-A98B-EC3E3C51927D}"/>
    <cellStyle name="40% - Accent2 2" xfId="29" xr:uid="{F4DFCD76-7D4E-447E-9BBD-633E892901D8}"/>
    <cellStyle name="40% - Accent3 2" xfId="30" xr:uid="{E2DC3B07-B290-4307-9C71-D3B6EF0EAA11}"/>
    <cellStyle name="40% - Accent4 2" xfId="31" xr:uid="{0B363C65-DB5E-40A4-B0CB-D3534D468215}"/>
    <cellStyle name="40% - Accent5 2" xfId="32" xr:uid="{EF3C7831-4A84-407D-B480-015BB2E58A91}"/>
    <cellStyle name="40% - Accent6 2" xfId="33" xr:uid="{62C8D02C-A7AF-438A-B3DE-9ADEAE254647}"/>
    <cellStyle name="60% - Accent1 2" xfId="34" xr:uid="{9D194BC6-F2E2-409C-B73E-10218EFF42C7}"/>
    <cellStyle name="60% - Accent2 2" xfId="35" xr:uid="{D821F3E1-A01D-48C5-AB2A-685A85627DDB}"/>
    <cellStyle name="60% - Accent3 2" xfId="36" xr:uid="{C55C5502-483E-4896-91DE-0BB60D16C5F0}"/>
    <cellStyle name="60% - Accent4 2" xfId="37" xr:uid="{F99D5BD1-4111-42AA-9265-B8A58DC298D6}"/>
    <cellStyle name="60% - Accent5 2" xfId="38" xr:uid="{B4A2E207-5E72-4729-A3E3-9D5B468FA2EB}"/>
    <cellStyle name="60% - Accent6 2" xfId="39" xr:uid="{BC9B4497-7ED8-45A8-B2F5-D6F1CEAD8C48}"/>
    <cellStyle name="Accent1 2" xfId="40" xr:uid="{9D510921-5182-4DEA-A3CD-507A8D5A435F}"/>
    <cellStyle name="Accent1 3" xfId="77" xr:uid="{4C392EF2-C9B9-4600-88C1-130DFD72B0B1}"/>
    <cellStyle name="Accent2 2" xfId="41" xr:uid="{4034DEFA-E13E-4F5A-AC1F-87EB5E61FB1A}"/>
    <cellStyle name="Accent3 2" xfId="42" xr:uid="{0F5BE863-F352-47FD-8DD8-D048A096E960}"/>
    <cellStyle name="Accent4 2" xfId="43" xr:uid="{B6A97881-3E78-4065-B16B-B3823CEE4DE6}"/>
    <cellStyle name="Accent5 2" xfId="44" xr:uid="{418AEA90-B2A4-4E59-B514-D35289553BB3}"/>
    <cellStyle name="Accent6 2" xfId="45" xr:uid="{917B0E6F-1426-4008-81DC-AED0A965FFB3}"/>
    <cellStyle name="Bad 2" xfId="46" xr:uid="{DB8A0CF0-B1D3-4EC6-B1E6-6C0F7CD31F90}"/>
    <cellStyle name="Calculation 2" xfId="47" xr:uid="{97DD7A77-6005-403B-9D56-9510166C61A5}"/>
    <cellStyle name="Check Cell 2" xfId="48" xr:uid="{48B1AD98-20B1-413D-BAE8-5F27F63574AD}"/>
    <cellStyle name="Comma" xfId="9" builtinId="3"/>
    <cellStyle name="Comma 2" xfId="19" xr:uid="{32E807D3-6CC5-4A28-A22C-48B151A98A0C}"/>
    <cellStyle name="Comma 3" xfId="1" xr:uid="{00000000-0005-0000-0000-000001000000}"/>
    <cellStyle name="Comma 3 2" xfId="63" xr:uid="{80827FF0-8459-4493-A545-7C6CDCCE3DD2}"/>
    <cellStyle name="Comma 4" xfId="76" xr:uid="{E9D092D6-DE2F-4BF1-9678-DB29A0E44579}"/>
    <cellStyle name="Explanatory Text 2" xfId="49" xr:uid="{9A89AA49-8EA8-4D48-B6E3-736D0D5563A3}"/>
    <cellStyle name="Good 2" xfId="50" xr:uid="{EF00AE95-DE91-4965-9096-3483FCFD2FE6}"/>
    <cellStyle name="Heading 1 2" xfId="51" xr:uid="{0197A1BC-3CB3-4E72-9222-92C430335291}"/>
    <cellStyle name="Heading 2 2" xfId="52" xr:uid="{049A6391-AEF8-4F7A-959B-8186F6D3764D}"/>
    <cellStyle name="Heading 2 3" xfId="79" xr:uid="{FC18183F-15A4-48EC-B336-859636B0F953}"/>
    <cellStyle name="Heading 3 2" xfId="53" xr:uid="{1A04F5BD-0728-4FA4-999C-3C9712F7EF8E}"/>
    <cellStyle name="Heading 4 2" xfId="54" xr:uid="{2B4C0CB7-CD61-459C-A1CE-E63C4C42880D}"/>
    <cellStyle name="Hyperlink" xfId="2" builtinId="8"/>
    <cellStyle name="Hyperlink 2" xfId="68" xr:uid="{BD82BC82-B3B7-4169-88B4-330BC66932ED}"/>
    <cellStyle name="Hyperlink 2 2" xfId="3" xr:uid="{00000000-0005-0000-0000-000003000000}"/>
    <cellStyle name="Hyperlink 3" xfId="67" xr:uid="{BC3826A0-8406-4FD2-90E1-2ACF22F89EA9}"/>
    <cellStyle name="Hyperlink 4" xfId="82" xr:uid="{2FFF191B-6613-4241-8742-758864D9DAF4}"/>
    <cellStyle name="Input 2" xfId="55" xr:uid="{965C9577-3707-4F16-8A86-D74E643932EF}"/>
    <cellStyle name="Linked Cell 2" xfId="56" xr:uid="{211AAAEF-453D-4B70-90B0-48D653C2AE08}"/>
    <cellStyle name="Neutral 2" xfId="57" xr:uid="{8AEE3102-1DBC-4AFA-99E0-BC104B9ABF50}"/>
    <cellStyle name="Normal" xfId="0" builtinId="0"/>
    <cellStyle name="Normal 10" xfId="11" xr:uid="{7BEA8059-6A4F-4CCD-9D86-2A834F7E68F8}"/>
    <cellStyle name="Normal 2" xfId="4" xr:uid="{00000000-0005-0000-0000-000005000000}"/>
    <cellStyle name="Normal 2 2" xfId="5" xr:uid="{00000000-0005-0000-0000-000006000000}"/>
    <cellStyle name="Normal 2 2 2" xfId="70" xr:uid="{65CEF65E-33D6-41F5-B318-105A1A15888E}"/>
    <cellStyle name="Normal 2 3" xfId="16" xr:uid="{DDB69A5D-D753-425E-A79B-ABA0B4927574}"/>
    <cellStyle name="Normal 2 4" xfId="69" xr:uid="{2C751029-61F7-4519-B537-FBC1AD9EFEAF}"/>
    <cellStyle name="Normal 2 5" xfId="13" xr:uid="{FE46202C-E9B8-4379-AC42-697FE1DBCBE7}"/>
    <cellStyle name="Normal 3" xfId="15" xr:uid="{4F649B5B-9E71-4FFC-9E4B-4DEA5E4E198F}"/>
    <cellStyle name="Normal 3 2" xfId="10" xr:uid="{00000000-0005-0000-0000-000007000000}"/>
    <cellStyle name="Normal 4" xfId="21" xr:uid="{88757447-7198-4938-AE26-5C092F63136D}"/>
    <cellStyle name="Normal 4 2" xfId="6" xr:uid="{00000000-0005-0000-0000-000008000000}"/>
    <cellStyle name="Normal 4 2 2" xfId="81" xr:uid="{E7D0C120-7079-4232-905A-15614C2725E9}"/>
    <cellStyle name="Normal 5" xfId="20" xr:uid="{6DBA0AA2-8FA7-46A6-82AB-54A9B4B93960}"/>
    <cellStyle name="Normal 6" xfId="64" xr:uid="{3D3DCC5F-70EB-4D78-8904-9FB53296E809}"/>
    <cellStyle name="Normal 7" xfId="75" xr:uid="{0A681AF2-FA84-4698-8A64-38DBD66F5B9F}"/>
    <cellStyle name="Normal 8" xfId="18" xr:uid="{4CF5342A-69D2-402A-B2CA-36AF76269F19}"/>
    <cellStyle name="Normal 9" xfId="80" xr:uid="{4C063DBF-E937-4C9E-A317-A623FA80011C}"/>
    <cellStyle name="Note 2" xfId="58" xr:uid="{FB3417B8-32D0-4E17-8C17-2513A5F42DA9}"/>
    <cellStyle name="Output 2" xfId="59" xr:uid="{469F6190-5770-4878-9669-6AEB47A851A6}"/>
    <cellStyle name="Percent" xfId="7" builtinId="5"/>
    <cellStyle name="Percent 2" xfId="71" xr:uid="{1EFB68D8-BE05-4B92-AA61-C30ED9096123}"/>
    <cellStyle name="Percent 3" xfId="65" xr:uid="{D46AA16B-2611-447A-8E95-83E34DC740E3}"/>
    <cellStyle name="Percent 4" xfId="14" xr:uid="{EA5B520A-F9C3-44E6-B9C7-826C69A2AB5F}"/>
    <cellStyle name="Refdb standard" xfId="12" xr:uid="{B22F7451-8211-44A1-8CCB-C3A9EFEE7C66}"/>
    <cellStyle name="Refdb standard 2" xfId="73" xr:uid="{EBA0E232-4240-4242-971A-2D8C6473DA3A}"/>
    <cellStyle name="Refdb standard 3" xfId="17" xr:uid="{886E9FFF-82B5-45E0-A7EC-C34A023DEC04}"/>
    <cellStyle name="Refdb standard 4" xfId="72" xr:uid="{25731C8B-0DF4-4CE6-BE9E-02584C3ED159}"/>
    <cellStyle name="table heading 3" xfId="8" xr:uid="{00000000-0005-0000-0000-00000A000000}"/>
    <cellStyle name="Title 2" xfId="60" xr:uid="{BEC33432-7BEC-4BAF-9695-89FEB3246E44}"/>
    <cellStyle name="Title 2 2" xfId="74" xr:uid="{BEAE4E6C-3BDF-4EEC-A7F1-3A1C0282474E}"/>
    <cellStyle name="Title 3" xfId="66" xr:uid="{8608A6F7-8CD4-42FB-B221-92A0757EBC7D}"/>
    <cellStyle name="Total 2" xfId="61" xr:uid="{7284B12B-A6F3-4B0E-A265-59A69F844479}"/>
    <cellStyle name="Warning Text 2" xfId="62" xr:uid="{503015F0-E23D-4ABF-A6B7-E873FC882BFD}"/>
  </cellStyles>
  <dxfs count="0"/>
  <tableStyles count="0" defaultTableStyle="TableStyleMedium9" defaultPivotStyle="PivotStyleLight16"/>
  <colors>
    <mruColors>
      <color rgb="FFDFEFFB"/>
      <color rgb="FFBBDDF5"/>
      <color rgb="FF57575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511175</xdr:colOff>
      <xdr:row>1</xdr:row>
      <xdr:rowOff>0</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16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0</xdr:row>
      <xdr:rowOff>0</xdr:rowOff>
    </xdr:from>
    <xdr:to>
      <xdr:col>5</xdr:col>
      <xdr:colOff>53975</xdr:colOff>
      <xdr:row>2</xdr:row>
      <xdr:rowOff>15875</xdr:rowOff>
    </xdr:to>
    <xdr:pic>
      <xdr:nvPicPr>
        <xdr:cNvPr id="3" name="Gradientba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0"/>
          <a:ext cx="436245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15875</xdr:rowOff>
    </xdr:to>
    <xdr:pic>
      <xdr:nvPicPr>
        <xdr:cNvPr id="4" name="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222303" name="Logo">
          <a:extLst>
            <a:ext uri="{FF2B5EF4-FFF2-40B4-BE49-F238E27FC236}">
              <a16:creationId xmlns:a16="http://schemas.microsoft.com/office/drawing/2014/main" id="{00000000-0008-0000-0100-0000DFE8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48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504825</xdr:colOff>
      <xdr:row>0</xdr:row>
      <xdr:rowOff>0</xdr:rowOff>
    </xdr:from>
    <xdr:to>
      <xdr:col>8</xdr:col>
      <xdr:colOff>38100</xdr:colOff>
      <xdr:row>2</xdr:row>
      <xdr:rowOff>6350</xdr:rowOff>
    </xdr:to>
    <xdr:pic>
      <xdr:nvPicPr>
        <xdr:cNvPr id="2222304" name="Gradientbar">
          <a:extLst>
            <a:ext uri="{FF2B5EF4-FFF2-40B4-BE49-F238E27FC236}">
              <a16:creationId xmlns:a16="http://schemas.microsoft.com/office/drawing/2014/main" id="{00000000-0008-0000-0100-0000E0E82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0"/>
          <a:ext cx="70294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2222305" name="Logo">
          <a:extLst>
            <a:ext uri="{FF2B5EF4-FFF2-40B4-BE49-F238E27FC236}">
              <a16:creationId xmlns:a16="http://schemas.microsoft.com/office/drawing/2014/main" id="{00000000-0008-0000-0100-0000E1E82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101</xdr:col>
      <xdr:colOff>38100</xdr:colOff>
      <xdr:row>2</xdr:row>
      <xdr:rowOff>19050</xdr:rowOff>
    </xdr:to>
    <xdr:pic>
      <xdr:nvPicPr>
        <xdr:cNvPr id="2224300" name="Gradientbar">
          <a:extLst>
            <a:ext uri="{FF2B5EF4-FFF2-40B4-BE49-F238E27FC236}">
              <a16:creationId xmlns:a16="http://schemas.microsoft.com/office/drawing/2014/main" id="{00000000-0008-0000-0200-0000ACF02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9227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504825</xdr:colOff>
      <xdr:row>2</xdr:row>
      <xdr:rowOff>19050</xdr:rowOff>
    </xdr:to>
    <xdr:pic>
      <xdr:nvPicPr>
        <xdr:cNvPr id="2224301" name="Logo">
          <a:extLst>
            <a:ext uri="{FF2B5EF4-FFF2-40B4-BE49-F238E27FC236}">
              <a16:creationId xmlns:a16="http://schemas.microsoft.com/office/drawing/2014/main" id="{00000000-0008-0000-0200-0000ADF02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100</xdr:col>
      <xdr:colOff>457200</xdr:colOff>
      <xdr:row>2</xdr:row>
      <xdr:rowOff>19050</xdr:rowOff>
    </xdr:to>
    <xdr:pic>
      <xdr:nvPicPr>
        <xdr:cNvPr id="2" name="Gradientbar">
          <a:extLst>
            <a:ext uri="{FF2B5EF4-FFF2-40B4-BE49-F238E27FC236}">
              <a16:creationId xmlns:a16="http://schemas.microsoft.com/office/drawing/2014/main" id="{F64AAD1D-A060-4580-A2C8-A2593A6E7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5292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E8C1ADFC-2806-40E8-AA5C-530C83B48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7</xdr:col>
      <xdr:colOff>19050</xdr:colOff>
      <xdr:row>2</xdr:row>
      <xdr:rowOff>19050</xdr:rowOff>
    </xdr:to>
    <xdr:pic>
      <xdr:nvPicPr>
        <xdr:cNvPr id="1451427" name="Gradientbar">
          <a:extLst>
            <a:ext uri="{FF2B5EF4-FFF2-40B4-BE49-F238E27FC236}">
              <a16:creationId xmlns:a16="http://schemas.microsoft.com/office/drawing/2014/main" id="{00000000-0008-0000-0300-0000A3251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8782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504825</xdr:colOff>
      <xdr:row>2</xdr:row>
      <xdr:rowOff>19050</xdr:rowOff>
    </xdr:to>
    <xdr:pic>
      <xdr:nvPicPr>
        <xdr:cNvPr id="1451428" name="Logo">
          <a:extLst>
            <a:ext uri="{FF2B5EF4-FFF2-40B4-BE49-F238E27FC236}">
              <a16:creationId xmlns:a16="http://schemas.microsoft.com/office/drawing/2014/main" id="{00000000-0008-0000-0300-0000A42516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76199</xdr:rowOff>
    </xdr:from>
    <xdr:to>
      <xdr:col>10</xdr:col>
      <xdr:colOff>476250</xdr:colOff>
      <xdr:row>26</xdr:row>
      <xdr:rowOff>93850</xdr:rowOff>
    </xdr:to>
    <xdr:pic>
      <xdr:nvPicPr>
        <xdr:cNvPr id="6" name="Picture 5" descr="A graph of blue and yellow lines&#10;&#10;Description automatically generated">
          <a:extLst>
            <a:ext uri="{FF2B5EF4-FFF2-40B4-BE49-F238E27FC236}">
              <a16:creationId xmlns:a16="http://schemas.microsoft.com/office/drawing/2014/main" id="{4563D003-1F3B-82F2-2C85-EE9BBF639151}"/>
            </a:ext>
          </a:extLst>
        </xdr:cNvPr>
        <xdr:cNvPicPr>
          <a:picLocks noChangeAspect="1"/>
        </xdr:cNvPicPr>
      </xdr:nvPicPr>
      <xdr:blipFill>
        <a:blip xmlns:r="http://schemas.openxmlformats.org/officeDocument/2006/relationships" r:embed="rId1"/>
        <a:stretch>
          <a:fillRect/>
        </a:stretch>
      </xdr:blipFill>
      <xdr:spPr>
        <a:xfrm>
          <a:off x="38100" y="76199"/>
          <a:ext cx="6534150" cy="4310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Publications\4_AHDB%20Dairy\Dairy%20Market%20Weekly\Working%20Files\2023\11.%20Nov\16.%20Nov\producer%20numbers\Estimate%20producer%20numbers%20(sensitive)%20FS%20update%20Oct23.xlsx" TargetMode="External"/><Relationship Id="rId1" Type="http://schemas.openxmlformats.org/officeDocument/2006/relationships/externalLinkPath" Target="/Publications/4_AHDB%20Dairy/Dairy%20Market%20Weekly/Working%20Files/2023/11.%20Nov/16.%20Nov/producer%20numbers/Estimate%20producer%20numbers%20(sensitive)%20FS%20update%20Oct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Chart"/>
    </sheetNames>
    <sheetDataSet>
      <sheetData sheetId="0"/>
      <sheetData sheetId="1">
        <row r="1">
          <cell r="B1" t="str">
            <v>GB</v>
          </cell>
        </row>
        <row r="2">
          <cell r="B2" t="str">
            <v>dairy producer numbers</v>
          </cell>
          <cell r="D2" t="str">
            <v>Volume per farm</v>
          </cell>
        </row>
        <row r="5">
          <cell r="A5" t="str">
            <v>Apr-20</v>
          </cell>
          <cell r="B5">
            <v>8380</v>
          </cell>
          <cell r="F5">
            <v>1.4951970962609391</v>
          </cell>
        </row>
        <row r="6">
          <cell r="A6" t="str">
            <v>Oct-20</v>
          </cell>
          <cell r="B6">
            <v>8310</v>
          </cell>
          <cell r="F6">
            <v>1.5012992572305905</v>
          </cell>
        </row>
        <row r="7">
          <cell r="A7" t="str">
            <v>Apr-21</v>
          </cell>
          <cell r="B7">
            <v>8040</v>
          </cell>
          <cell r="F7">
            <v>1.5599203980099503</v>
          </cell>
        </row>
        <row r="8">
          <cell r="A8" t="str">
            <v>Oct-21</v>
          </cell>
          <cell r="B8">
            <v>8000</v>
          </cell>
          <cell r="F8">
            <v>1.5671137499999999</v>
          </cell>
        </row>
        <row r="9">
          <cell r="A9" t="str">
            <v>Apr-22</v>
          </cell>
          <cell r="B9">
            <v>7880</v>
          </cell>
          <cell r="F9">
            <v>1.5684073604060913</v>
          </cell>
        </row>
        <row r="10">
          <cell r="A10">
            <v>44835</v>
          </cell>
          <cell r="B10">
            <v>7850</v>
          </cell>
          <cell r="F10">
            <v>1.5619834394904459</v>
          </cell>
        </row>
        <row r="11">
          <cell r="A11" t="str">
            <v>Apr-23</v>
          </cell>
          <cell r="B11">
            <v>7570</v>
          </cell>
          <cell r="F11">
            <v>1.6363276089828271</v>
          </cell>
        </row>
        <row r="12">
          <cell r="A12">
            <v>45200</v>
          </cell>
          <cell r="B12">
            <v>7500</v>
          </cell>
          <cell r="F12">
            <v>1.6539426666666666</v>
          </cell>
        </row>
      </sheetData>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hdb.org.uk/" TargetMode="External"/><Relationship Id="rId2" Type="http://schemas.openxmlformats.org/officeDocument/2006/relationships/hyperlink" Target="mailto:datum@ahdb.org.uk" TargetMode="External"/><Relationship Id="rId1" Type="http://schemas.openxmlformats.org/officeDocument/2006/relationships/hyperlink" Target="http://dairy.ahdb.org.uk/news/news-articles/february-2019/why-are-producer-numbers-dropping-so-quickly/" TargetMode="External"/><Relationship Id="rId5" Type="http://schemas.openxmlformats.org/officeDocument/2006/relationships/printerSettings" Target="../printerSettings/printerSettings7.bin"/><Relationship Id="rId4" Type="http://schemas.openxmlformats.org/officeDocument/2006/relationships/hyperlink" Target="https://ahdb.org.uk/market-intelligence-data-and-analysis-tea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workbookViewId="0">
      <pane xSplit="2" ySplit="8" topLeftCell="C9" activePane="bottomRight" state="frozen"/>
      <selection pane="topRight" activeCell="C1" sqref="C1"/>
      <selection pane="bottomLeft" activeCell="A9" sqref="A9"/>
      <selection pane="bottomRight" activeCell="F20" sqref="F20"/>
    </sheetView>
  </sheetViews>
  <sheetFormatPr defaultColWidth="9.140625" defaultRowHeight="12.75" x14ac:dyDescent="0.2"/>
  <cols>
    <col min="1" max="1" width="8.85546875" style="2" customWidth="1"/>
    <col min="2" max="2" width="22.140625" style="2" customWidth="1"/>
    <col min="3" max="5" width="13.5703125" style="2" customWidth="1"/>
    <col min="6" max="6" width="9.140625" style="2"/>
    <col min="7" max="7" width="9.7109375" style="2" bestFit="1" customWidth="1"/>
    <col min="8" max="16384" width="9.140625" style="2"/>
  </cols>
  <sheetData>
    <row r="1" spans="1:12" s="13" customFormat="1" x14ac:dyDescent="0.2"/>
    <row r="2" spans="1:12" s="13" customFormat="1" x14ac:dyDescent="0.2"/>
    <row r="3" spans="1:12" s="13" customFormat="1" ht="20.25" x14ac:dyDescent="0.3">
      <c r="A3" s="37" t="s">
        <v>117</v>
      </c>
      <c r="B3" s="37"/>
      <c r="C3" s="14"/>
      <c r="D3" s="14"/>
      <c r="E3" s="14"/>
      <c r="F3" s="14"/>
      <c r="G3" s="14"/>
    </row>
    <row r="4" spans="1:12" s="38" customFormat="1" ht="15" customHeight="1" x14ac:dyDescent="0.2">
      <c r="A4" s="49" t="s">
        <v>118</v>
      </c>
      <c r="B4" s="49"/>
      <c r="C4" s="49"/>
      <c r="D4" s="49"/>
      <c r="E4" s="49"/>
      <c r="F4" s="49"/>
      <c r="G4" s="49"/>
    </row>
    <row r="5" spans="1:12" s="38" customFormat="1" ht="15" customHeight="1" x14ac:dyDescent="0.2">
      <c r="A5" s="50" t="s">
        <v>119</v>
      </c>
      <c r="B5" s="50"/>
      <c r="C5" s="50"/>
      <c r="D5" s="50"/>
      <c r="E5" s="50"/>
      <c r="F5" s="50"/>
      <c r="G5" s="50"/>
    </row>
    <row r="6" spans="1:12" s="38" customFormat="1" ht="15" customHeight="1" x14ac:dyDescent="0.25">
      <c r="A6" s="47" t="s">
        <v>158</v>
      </c>
      <c r="B6" s="47"/>
      <c r="C6" s="48"/>
      <c r="D6" s="48"/>
      <c r="E6" s="48"/>
      <c r="F6" s="48"/>
      <c r="G6" s="48"/>
    </row>
    <row r="7" spans="1:12" s="38" customFormat="1" ht="15.75" x14ac:dyDescent="0.25">
      <c r="B7" s="39"/>
      <c r="C7" s="41"/>
    </row>
    <row r="8" spans="1:12" s="38" customFormat="1" ht="30.75" customHeight="1" x14ac:dyDescent="0.2">
      <c r="B8" s="42" t="s">
        <v>111</v>
      </c>
      <c r="C8" s="43" t="s">
        <v>120</v>
      </c>
      <c r="D8" s="43" t="s">
        <v>95</v>
      </c>
      <c r="E8" s="43" t="s">
        <v>107</v>
      </c>
    </row>
    <row r="9" spans="1:12" s="38" customFormat="1" ht="15" x14ac:dyDescent="0.2">
      <c r="B9" s="51">
        <v>43739</v>
      </c>
      <c r="C9" s="53">
        <v>8720</v>
      </c>
      <c r="D9" s="53"/>
      <c r="E9" s="55"/>
      <c r="F9" s="44"/>
      <c r="G9" s="44"/>
      <c r="H9" s="44"/>
      <c r="I9" s="44"/>
      <c r="J9" s="44"/>
      <c r="K9" s="44"/>
      <c r="L9" s="44"/>
    </row>
    <row r="10" spans="1:12" s="38" customFormat="1" ht="15" x14ac:dyDescent="0.2">
      <c r="B10" s="52">
        <v>43922</v>
      </c>
      <c r="C10" s="54">
        <v>8380</v>
      </c>
      <c r="D10" s="54"/>
      <c r="E10" s="56"/>
      <c r="F10" s="44"/>
      <c r="G10" s="44"/>
      <c r="H10" s="44"/>
      <c r="I10" s="44"/>
      <c r="J10" s="44"/>
      <c r="K10" s="44"/>
      <c r="L10" s="44"/>
    </row>
    <row r="11" spans="1:12" s="38" customFormat="1" ht="15.75" x14ac:dyDescent="0.2">
      <c r="B11" s="51">
        <v>44105</v>
      </c>
      <c r="C11" s="53">
        <v>8310</v>
      </c>
      <c r="D11" s="53">
        <f t="shared" ref="D11:D16" si="0">C11-C9</f>
        <v>-410</v>
      </c>
      <c r="E11" s="55">
        <f t="shared" ref="E11:E16" si="1">D11/C9</f>
        <v>-4.7018348623853214E-2</v>
      </c>
      <c r="F11" s="46"/>
    </row>
    <row r="12" spans="1:12" s="38" customFormat="1" ht="15.75" x14ac:dyDescent="0.2">
      <c r="B12" s="52">
        <v>44287</v>
      </c>
      <c r="C12" s="54">
        <v>8040</v>
      </c>
      <c r="D12" s="54">
        <f t="shared" si="0"/>
        <v>-340</v>
      </c>
      <c r="E12" s="56">
        <f t="shared" si="1"/>
        <v>-4.0572792362768499E-2</v>
      </c>
      <c r="F12" s="46"/>
    </row>
    <row r="13" spans="1:12" ht="15" x14ac:dyDescent="0.2">
      <c r="B13" s="51">
        <v>44470</v>
      </c>
      <c r="C13" s="53">
        <v>8000</v>
      </c>
      <c r="D13" s="53">
        <f t="shared" si="0"/>
        <v>-310</v>
      </c>
      <c r="E13" s="55">
        <f t="shared" si="1"/>
        <v>-3.7304452466907341E-2</v>
      </c>
    </row>
    <row r="14" spans="1:12" ht="15" x14ac:dyDescent="0.2">
      <c r="B14" s="52">
        <v>44652</v>
      </c>
      <c r="C14" s="54">
        <v>7880</v>
      </c>
      <c r="D14" s="54">
        <f t="shared" si="0"/>
        <v>-160</v>
      </c>
      <c r="E14" s="56">
        <f t="shared" si="1"/>
        <v>-1.9900497512437811E-2</v>
      </c>
    </row>
    <row r="15" spans="1:12" ht="15" x14ac:dyDescent="0.2">
      <c r="B15" s="51">
        <v>44835</v>
      </c>
      <c r="C15" s="53">
        <v>7850</v>
      </c>
      <c r="D15" s="53">
        <f t="shared" si="0"/>
        <v>-150</v>
      </c>
      <c r="E15" s="55">
        <f t="shared" si="1"/>
        <v>-1.8749999999999999E-2</v>
      </c>
    </row>
    <row r="16" spans="1:12" ht="15" x14ac:dyDescent="0.2">
      <c r="B16" s="52">
        <v>45017</v>
      </c>
      <c r="C16" s="54">
        <v>7570</v>
      </c>
      <c r="D16" s="54">
        <f t="shared" si="0"/>
        <v>-310</v>
      </c>
      <c r="E16" s="56">
        <f t="shared" si="1"/>
        <v>-3.934010152284264E-2</v>
      </c>
    </row>
    <row r="17" spans="2:5" ht="15" x14ac:dyDescent="0.2">
      <c r="B17" s="51">
        <v>45200</v>
      </c>
      <c r="C17" s="53">
        <v>7500</v>
      </c>
      <c r="D17" s="53">
        <f t="shared" ref="D17" si="2">C17-C15</f>
        <v>-350</v>
      </c>
      <c r="E17" s="55">
        <f t="shared" ref="E17" si="3">D17/C15</f>
        <v>-4.4585987261146494E-2</v>
      </c>
    </row>
    <row r="18" spans="2:5" x14ac:dyDescent="0.2">
      <c r="D18" s="201"/>
      <c r="E18" s="202"/>
    </row>
  </sheetData>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workbookViewId="0">
      <pane xSplit="2" ySplit="8" topLeftCell="C41" activePane="bottomRight" state="frozen"/>
      <selection pane="topRight" activeCell="B1" sqref="B1"/>
      <selection pane="bottomLeft" activeCell="A9" sqref="A9"/>
      <selection pane="bottomRight" activeCell="G66" sqref="G66"/>
    </sheetView>
  </sheetViews>
  <sheetFormatPr defaultColWidth="9.140625" defaultRowHeight="12.75" x14ac:dyDescent="0.2"/>
  <cols>
    <col min="1" max="1" width="8.85546875" style="2" customWidth="1"/>
    <col min="2" max="2" width="22.140625" style="2" customWidth="1"/>
    <col min="3" max="8" width="13.5703125" style="2" customWidth="1"/>
    <col min="9" max="9" width="9.140625" style="2"/>
    <col min="10" max="10" width="9.7109375" style="2" bestFit="1" customWidth="1"/>
    <col min="11" max="16384" width="9.140625" style="2"/>
  </cols>
  <sheetData>
    <row r="1" spans="1:15" s="13" customFormat="1" x14ac:dyDescent="0.2"/>
    <row r="2" spans="1:15" s="13" customFormat="1" x14ac:dyDescent="0.2"/>
    <row r="3" spans="1:15" s="13" customFormat="1" ht="20.25" x14ac:dyDescent="0.3">
      <c r="A3" s="37" t="s">
        <v>96</v>
      </c>
      <c r="B3" s="37"/>
      <c r="C3" s="14"/>
      <c r="D3" s="14"/>
      <c r="E3" s="14"/>
      <c r="F3" s="14"/>
      <c r="G3" s="14"/>
      <c r="H3" s="14"/>
      <c r="I3" s="14"/>
      <c r="J3" s="14"/>
    </row>
    <row r="4" spans="1:15" s="38" customFormat="1" ht="15" customHeight="1" x14ac:dyDescent="0.2">
      <c r="A4" s="49" t="s">
        <v>113</v>
      </c>
      <c r="B4" s="49"/>
      <c r="C4" s="49"/>
      <c r="D4" s="49"/>
      <c r="E4" s="49"/>
      <c r="F4" s="49"/>
      <c r="G4" s="49"/>
      <c r="H4" s="49"/>
      <c r="I4" s="49"/>
      <c r="J4" s="49"/>
    </row>
    <row r="5" spans="1:15" s="38" customFormat="1" ht="15" customHeight="1" x14ac:dyDescent="0.2">
      <c r="A5" s="50" t="s">
        <v>114</v>
      </c>
      <c r="B5" s="50"/>
      <c r="C5" s="50"/>
      <c r="D5" s="50"/>
      <c r="E5" s="50"/>
      <c r="F5" s="50"/>
      <c r="G5" s="50"/>
      <c r="H5" s="50"/>
      <c r="I5" s="50"/>
      <c r="J5" s="50"/>
    </row>
    <row r="6" spans="1:15" s="38" customFormat="1" ht="15" customHeight="1" x14ac:dyDescent="0.25">
      <c r="A6" s="47" t="s">
        <v>157</v>
      </c>
      <c r="B6" s="47"/>
      <c r="C6" s="48"/>
      <c r="D6" s="48"/>
      <c r="E6" s="48"/>
      <c r="F6" s="48"/>
      <c r="G6" s="48"/>
      <c r="H6" s="48"/>
      <c r="I6" s="48"/>
      <c r="J6" s="48"/>
    </row>
    <row r="7" spans="1:15" s="38" customFormat="1" ht="15.75" x14ac:dyDescent="0.25">
      <c r="B7" s="39"/>
      <c r="C7" s="40"/>
      <c r="D7" s="41"/>
      <c r="E7" s="41"/>
      <c r="F7" s="40"/>
    </row>
    <row r="8" spans="1:15" s="38" customFormat="1" ht="30.75" customHeight="1" x14ac:dyDescent="0.2">
      <c r="B8" s="42" t="s">
        <v>108</v>
      </c>
      <c r="C8" s="42" t="s">
        <v>3</v>
      </c>
      <c r="D8" s="42" t="s">
        <v>0</v>
      </c>
      <c r="E8" s="42" t="s">
        <v>1</v>
      </c>
      <c r="F8" s="43" t="s">
        <v>132</v>
      </c>
      <c r="G8" s="43" t="s">
        <v>95</v>
      </c>
      <c r="H8" s="43" t="s">
        <v>107</v>
      </c>
    </row>
    <row r="9" spans="1:15" s="38" customFormat="1" ht="15" x14ac:dyDescent="0.2">
      <c r="B9" s="52">
        <v>37347</v>
      </c>
      <c r="C9" s="54">
        <v>18867</v>
      </c>
      <c r="D9" s="54">
        <v>3181</v>
      </c>
      <c r="E9" s="54">
        <v>15686</v>
      </c>
      <c r="F9" s="52"/>
      <c r="G9" s="54"/>
      <c r="H9" s="54"/>
      <c r="I9" s="44"/>
      <c r="J9" s="44"/>
      <c r="K9" s="44"/>
      <c r="L9" s="44"/>
      <c r="M9" s="44"/>
      <c r="N9" s="44"/>
      <c r="O9" s="44"/>
    </row>
    <row r="10" spans="1:15" s="38" customFormat="1" ht="15" x14ac:dyDescent="0.2">
      <c r="B10" s="51">
        <v>37530</v>
      </c>
      <c r="C10" s="53">
        <v>18207</v>
      </c>
      <c r="D10" s="53">
        <v>3107</v>
      </c>
      <c r="E10" s="53">
        <v>15100</v>
      </c>
      <c r="F10" s="53">
        <f>C10-C9</f>
        <v>-660</v>
      </c>
      <c r="G10" s="53"/>
      <c r="H10" s="53"/>
      <c r="I10" s="44"/>
      <c r="J10" s="44"/>
      <c r="K10" s="44"/>
      <c r="L10" s="44"/>
      <c r="M10" s="44"/>
      <c r="N10" s="44"/>
      <c r="O10" s="44"/>
    </row>
    <row r="11" spans="1:15" s="38" customFormat="1" ht="15" x14ac:dyDescent="0.2">
      <c r="B11" s="141">
        <v>37712</v>
      </c>
      <c r="C11" s="70">
        <v>17213</v>
      </c>
      <c r="D11" s="70">
        <v>2974</v>
      </c>
      <c r="E11" s="70">
        <v>14239</v>
      </c>
      <c r="F11" s="70">
        <f t="shared" ref="F11:F46" si="0">C11-C10</f>
        <v>-994</v>
      </c>
      <c r="G11" s="70">
        <f>C11-C9</f>
        <v>-1654</v>
      </c>
      <c r="H11" s="72">
        <f>SUM(C11-C9)/C9</f>
        <v>-8.7666295648486769E-2</v>
      </c>
      <c r="I11" s="45"/>
      <c r="J11" s="44"/>
      <c r="K11" s="44"/>
      <c r="L11" s="44"/>
      <c r="M11" s="44"/>
      <c r="N11" s="44"/>
      <c r="O11" s="44"/>
    </row>
    <row r="12" spans="1:15" s="38" customFormat="1" ht="15" x14ac:dyDescent="0.2">
      <c r="B12" s="51">
        <v>37895</v>
      </c>
      <c r="C12" s="53">
        <v>16516</v>
      </c>
      <c r="D12" s="53">
        <v>2891</v>
      </c>
      <c r="E12" s="53">
        <v>13625</v>
      </c>
      <c r="F12" s="53">
        <f t="shared" si="0"/>
        <v>-697</v>
      </c>
      <c r="G12" s="53">
        <f t="shared" ref="G12:G46" si="1">C12-C10</f>
        <v>-1691</v>
      </c>
      <c r="H12" s="55">
        <f t="shared" ref="H12:H46" si="2">SUM(C12-C10)/C10</f>
        <v>-9.2876366232767613E-2</v>
      </c>
      <c r="I12" s="45"/>
      <c r="J12" s="44"/>
      <c r="K12" s="44"/>
      <c r="L12" s="44"/>
      <c r="M12" s="44"/>
      <c r="N12" s="44"/>
      <c r="O12" s="44"/>
    </row>
    <row r="13" spans="1:15" s="38" customFormat="1" ht="15" x14ac:dyDescent="0.2">
      <c r="B13" s="141">
        <v>38078</v>
      </c>
      <c r="C13" s="70">
        <v>15955</v>
      </c>
      <c r="D13" s="70">
        <v>2811</v>
      </c>
      <c r="E13" s="70">
        <v>13144</v>
      </c>
      <c r="F13" s="70">
        <f t="shared" si="0"/>
        <v>-561</v>
      </c>
      <c r="G13" s="70">
        <f t="shared" si="1"/>
        <v>-1258</v>
      </c>
      <c r="H13" s="72">
        <f t="shared" si="2"/>
        <v>-7.3084296752454536E-2</v>
      </c>
      <c r="I13" s="45"/>
      <c r="J13" s="44"/>
      <c r="K13" s="44"/>
      <c r="L13" s="44"/>
      <c r="M13" s="44"/>
      <c r="N13" s="44"/>
      <c r="O13" s="44"/>
    </row>
    <row r="14" spans="1:15" s="38" customFormat="1" ht="15" x14ac:dyDescent="0.2">
      <c r="B14" s="51">
        <v>38261</v>
      </c>
      <c r="C14" s="53">
        <v>15444</v>
      </c>
      <c r="D14" s="53">
        <v>2718</v>
      </c>
      <c r="E14" s="53">
        <v>12726</v>
      </c>
      <c r="F14" s="53">
        <f t="shared" si="0"/>
        <v>-511</v>
      </c>
      <c r="G14" s="53">
        <f t="shared" si="1"/>
        <v>-1072</v>
      </c>
      <c r="H14" s="55">
        <f t="shared" si="2"/>
        <v>-6.4906757084039715E-2</v>
      </c>
      <c r="I14" s="45"/>
      <c r="J14" s="44"/>
      <c r="K14" s="44"/>
      <c r="L14" s="44"/>
      <c r="M14" s="44"/>
      <c r="N14" s="44"/>
      <c r="O14" s="44"/>
    </row>
    <row r="15" spans="1:15" s="38" customFormat="1" ht="15" x14ac:dyDescent="0.2">
      <c r="B15" s="141">
        <v>38443</v>
      </c>
      <c r="C15" s="70">
        <v>14925</v>
      </c>
      <c r="D15" s="70">
        <v>2653</v>
      </c>
      <c r="E15" s="70">
        <v>12272</v>
      </c>
      <c r="F15" s="70">
        <f t="shared" si="0"/>
        <v>-519</v>
      </c>
      <c r="G15" s="70">
        <f t="shared" si="1"/>
        <v>-1030</v>
      </c>
      <c r="H15" s="72">
        <f t="shared" si="2"/>
        <v>-6.4556565340018801E-2</v>
      </c>
      <c r="I15" s="45"/>
      <c r="J15" s="44"/>
      <c r="K15" s="44"/>
      <c r="L15" s="44"/>
      <c r="M15" s="44"/>
      <c r="N15" s="44"/>
      <c r="O15" s="44"/>
    </row>
    <row r="16" spans="1:15" s="38" customFormat="1" ht="15" x14ac:dyDescent="0.2">
      <c r="B16" s="51">
        <v>38626</v>
      </c>
      <c r="C16" s="53">
        <v>14436</v>
      </c>
      <c r="D16" s="53">
        <v>2571</v>
      </c>
      <c r="E16" s="53">
        <v>11865</v>
      </c>
      <c r="F16" s="53">
        <f t="shared" si="0"/>
        <v>-489</v>
      </c>
      <c r="G16" s="53">
        <f t="shared" si="1"/>
        <v>-1008</v>
      </c>
      <c r="H16" s="55">
        <f t="shared" si="2"/>
        <v>-6.5268065268065265E-2</v>
      </c>
      <c r="I16" s="45"/>
      <c r="J16" s="44"/>
      <c r="K16" s="44"/>
      <c r="L16" s="44"/>
      <c r="M16" s="44"/>
      <c r="N16" s="44"/>
      <c r="O16" s="44"/>
    </row>
    <row r="17" spans="2:15" s="38" customFormat="1" ht="15" x14ac:dyDescent="0.2">
      <c r="B17" s="141">
        <v>38808</v>
      </c>
      <c r="C17" s="70">
        <v>13916</v>
      </c>
      <c r="D17" s="70">
        <v>2480</v>
      </c>
      <c r="E17" s="70">
        <v>11436</v>
      </c>
      <c r="F17" s="70">
        <f t="shared" si="0"/>
        <v>-520</v>
      </c>
      <c r="G17" s="70">
        <f t="shared" si="1"/>
        <v>-1009</v>
      </c>
      <c r="H17" s="72">
        <f t="shared" si="2"/>
        <v>-6.7604690117252925E-2</v>
      </c>
      <c r="I17" s="45"/>
      <c r="J17" s="44"/>
      <c r="K17" s="44"/>
      <c r="L17" s="44"/>
      <c r="M17" s="44"/>
      <c r="N17" s="44"/>
      <c r="O17" s="44"/>
    </row>
    <row r="18" spans="2:15" s="38" customFormat="1" ht="15" x14ac:dyDescent="0.2">
      <c r="B18" s="51">
        <v>38991</v>
      </c>
      <c r="C18" s="53">
        <v>13493</v>
      </c>
      <c r="D18" s="53">
        <v>2403</v>
      </c>
      <c r="E18" s="53">
        <v>11090</v>
      </c>
      <c r="F18" s="53">
        <f t="shared" si="0"/>
        <v>-423</v>
      </c>
      <c r="G18" s="53">
        <f t="shared" si="1"/>
        <v>-943</v>
      </c>
      <c r="H18" s="55">
        <f t="shared" si="2"/>
        <v>-6.5322804100858958E-2</v>
      </c>
      <c r="I18" s="45"/>
      <c r="J18" s="44"/>
      <c r="K18" s="44"/>
      <c r="L18" s="44"/>
      <c r="M18" s="44"/>
      <c r="N18" s="44"/>
      <c r="O18" s="44"/>
    </row>
    <row r="19" spans="2:15" s="38" customFormat="1" ht="15" x14ac:dyDescent="0.2">
      <c r="B19" s="141">
        <v>39179</v>
      </c>
      <c r="C19" s="70">
        <v>12981</v>
      </c>
      <c r="D19" s="70">
        <v>2314</v>
      </c>
      <c r="E19" s="70">
        <v>10667</v>
      </c>
      <c r="F19" s="70">
        <f t="shared" si="0"/>
        <v>-512</v>
      </c>
      <c r="G19" s="70">
        <f t="shared" si="1"/>
        <v>-935</v>
      </c>
      <c r="H19" s="72">
        <f t="shared" si="2"/>
        <v>-6.7188847369933885E-2</v>
      </c>
      <c r="I19" s="45"/>
      <c r="J19" s="44"/>
      <c r="K19" s="44"/>
      <c r="L19" s="44"/>
      <c r="M19" s="44"/>
      <c r="N19" s="44"/>
      <c r="O19" s="44"/>
    </row>
    <row r="20" spans="2:15" s="38" customFormat="1" ht="15" x14ac:dyDescent="0.2">
      <c r="B20" s="51">
        <v>39359</v>
      </c>
      <c r="C20" s="53">
        <v>12669</v>
      </c>
      <c r="D20" s="53">
        <v>2264</v>
      </c>
      <c r="E20" s="53">
        <v>10405</v>
      </c>
      <c r="F20" s="53">
        <f t="shared" si="0"/>
        <v>-312</v>
      </c>
      <c r="G20" s="53">
        <f t="shared" si="1"/>
        <v>-824</v>
      </c>
      <c r="H20" s="55">
        <f t="shared" si="2"/>
        <v>-6.1068702290076333E-2</v>
      </c>
      <c r="I20" s="45"/>
      <c r="J20" s="44"/>
      <c r="K20" s="44"/>
      <c r="L20" s="44"/>
      <c r="M20" s="44"/>
      <c r="N20" s="44"/>
      <c r="O20" s="44"/>
    </row>
    <row r="21" spans="2:15" s="38" customFormat="1" ht="15" x14ac:dyDescent="0.2">
      <c r="B21" s="141">
        <v>39551</v>
      </c>
      <c r="C21" s="70">
        <v>12365</v>
      </c>
      <c r="D21" s="70">
        <v>2196</v>
      </c>
      <c r="E21" s="70">
        <v>10169</v>
      </c>
      <c r="F21" s="70">
        <f t="shared" si="0"/>
        <v>-304</v>
      </c>
      <c r="G21" s="70">
        <f t="shared" si="1"/>
        <v>-616</v>
      </c>
      <c r="H21" s="72">
        <f t="shared" si="2"/>
        <v>-4.7453971188660349E-2</v>
      </c>
      <c r="I21" s="45"/>
      <c r="J21" s="44"/>
      <c r="K21" s="44"/>
      <c r="L21" s="44"/>
      <c r="M21" s="44"/>
      <c r="N21" s="44"/>
      <c r="O21" s="44"/>
    </row>
    <row r="22" spans="2:15" s="38" customFormat="1" ht="15" x14ac:dyDescent="0.2">
      <c r="B22" s="51">
        <v>39743</v>
      </c>
      <c r="C22" s="53">
        <v>12001</v>
      </c>
      <c r="D22" s="53">
        <v>2136</v>
      </c>
      <c r="E22" s="53">
        <v>9865</v>
      </c>
      <c r="F22" s="53">
        <f t="shared" si="0"/>
        <v>-364</v>
      </c>
      <c r="G22" s="53">
        <f t="shared" si="1"/>
        <v>-668</v>
      </c>
      <c r="H22" s="55">
        <f t="shared" si="2"/>
        <v>-5.2727129213039702E-2</v>
      </c>
      <c r="I22" s="45"/>
      <c r="J22" s="44"/>
      <c r="K22" s="44"/>
      <c r="L22" s="44"/>
      <c r="M22" s="44"/>
      <c r="N22" s="44"/>
      <c r="O22" s="44"/>
    </row>
    <row r="23" spans="2:15" s="38" customFormat="1" ht="15" x14ac:dyDescent="0.2">
      <c r="B23" s="141">
        <v>39904</v>
      </c>
      <c r="C23" s="70">
        <v>11787</v>
      </c>
      <c r="D23" s="70">
        <v>2106</v>
      </c>
      <c r="E23" s="70">
        <v>9681</v>
      </c>
      <c r="F23" s="70">
        <f t="shared" si="0"/>
        <v>-214</v>
      </c>
      <c r="G23" s="70">
        <f t="shared" si="1"/>
        <v>-578</v>
      </c>
      <c r="H23" s="72">
        <f t="shared" si="2"/>
        <v>-4.6744844318641329E-2</v>
      </c>
      <c r="I23" s="45"/>
      <c r="J23" s="44"/>
      <c r="K23" s="44"/>
      <c r="L23" s="44"/>
      <c r="M23" s="44"/>
      <c r="N23" s="44"/>
      <c r="O23" s="44"/>
    </row>
    <row r="24" spans="2:15" s="38" customFormat="1" ht="15" x14ac:dyDescent="0.2">
      <c r="B24" s="51">
        <v>40087</v>
      </c>
      <c r="C24" s="53">
        <v>11607</v>
      </c>
      <c r="D24" s="53">
        <v>2070</v>
      </c>
      <c r="E24" s="53">
        <v>9537</v>
      </c>
      <c r="F24" s="53">
        <f t="shared" si="0"/>
        <v>-180</v>
      </c>
      <c r="G24" s="53">
        <f t="shared" si="1"/>
        <v>-394</v>
      </c>
      <c r="H24" s="55">
        <f t="shared" si="2"/>
        <v>-3.2830597450212481E-2</v>
      </c>
      <c r="I24" s="45"/>
      <c r="J24" s="44"/>
      <c r="K24" s="44"/>
      <c r="L24" s="44"/>
      <c r="M24" s="44"/>
      <c r="N24" s="44"/>
      <c r="O24" s="44"/>
    </row>
    <row r="25" spans="2:15" s="38" customFormat="1" ht="15" x14ac:dyDescent="0.2">
      <c r="B25" s="141">
        <v>40269</v>
      </c>
      <c r="C25" s="70">
        <v>11318</v>
      </c>
      <c r="D25" s="70">
        <v>1994</v>
      </c>
      <c r="E25" s="70">
        <v>9324</v>
      </c>
      <c r="F25" s="70">
        <f t="shared" si="0"/>
        <v>-289</v>
      </c>
      <c r="G25" s="70">
        <f t="shared" si="1"/>
        <v>-469</v>
      </c>
      <c r="H25" s="72">
        <f t="shared" si="2"/>
        <v>-3.9789598710443706E-2</v>
      </c>
      <c r="I25" s="45"/>
      <c r="J25" s="44"/>
      <c r="K25" s="44"/>
      <c r="L25" s="44"/>
      <c r="M25" s="44"/>
      <c r="N25" s="44"/>
      <c r="O25" s="44"/>
    </row>
    <row r="26" spans="2:15" s="38" customFormat="1" ht="15" x14ac:dyDescent="0.2">
      <c r="B26" s="51">
        <v>40459</v>
      </c>
      <c r="C26" s="53">
        <v>11137</v>
      </c>
      <c r="D26" s="53">
        <v>1959</v>
      </c>
      <c r="E26" s="53">
        <v>9178</v>
      </c>
      <c r="F26" s="53">
        <f t="shared" si="0"/>
        <v>-181</v>
      </c>
      <c r="G26" s="53">
        <f t="shared" si="1"/>
        <v>-470</v>
      </c>
      <c r="H26" s="55">
        <f t="shared" si="2"/>
        <v>-4.049280606530542E-2</v>
      </c>
      <c r="I26" s="45"/>
      <c r="J26" s="44"/>
      <c r="K26" s="44"/>
      <c r="L26" s="44"/>
      <c r="M26" s="44"/>
      <c r="N26" s="44"/>
      <c r="O26" s="44"/>
    </row>
    <row r="27" spans="2:15" s="38" customFormat="1" ht="15" x14ac:dyDescent="0.2">
      <c r="B27" s="141">
        <v>40646</v>
      </c>
      <c r="C27" s="70">
        <v>10907</v>
      </c>
      <c r="D27" s="70">
        <v>1924</v>
      </c>
      <c r="E27" s="70">
        <v>8983</v>
      </c>
      <c r="F27" s="70">
        <f t="shared" si="0"/>
        <v>-230</v>
      </c>
      <c r="G27" s="70">
        <f t="shared" si="1"/>
        <v>-411</v>
      </c>
      <c r="H27" s="72">
        <f t="shared" si="2"/>
        <v>-3.6313836366849268E-2</v>
      </c>
      <c r="I27" s="45"/>
      <c r="J27" s="44"/>
      <c r="K27" s="44"/>
      <c r="L27" s="44"/>
      <c r="M27" s="44"/>
      <c r="N27" s="44"/>
      <c r="O27" s="44"/>
    </row>
    <row r="28" spans="2:15" s="38" customFormat="1" ht="15" x14ac:dyDescent="0.2">
      <c r="B28" s="51">
        <v>40829</v>
      </c>
      <c r="C28" s="53">
        <v>10779</v>
      </c>
      <c r="D28" s="53">
        <v>1916</v>
      </c>
      <c r="E28" s="53">
        <v>8863</v>
      </c>
      <c r="F28" s="53">
        <f t="shared" si="0"/>
        <v>-128</v>
      </c>
      <c r="G28" s="53">
        <f t="shared" si="1"/>
        <v>-358</v>
      </c>
      <c r="H28" s="55">
        <f t="shared" si="2"/>
        <v>-3.2145101912543772E-2</v>
      </c>
      <c r="I28" s="45"/>
      <c r="J28" s="44"/>
      <c r="K28" s="44"/>
      <c r="L28" s="44"/>
      <c r="M28" s="44"/>
      <c r="N28" s="44"/>
      <c r="O28" s="44"/>
    </row>
    <row r="29" spans="2:15" s="38" customFormat="1" ht="15" x14ac:dyDescent="0.2">
      <c r="B29" s="141">
        <v>41012</v>
      </c>
      <c r="C29" s="70">
        <v>10724</v>
      </c>
      <c r="D29" s="70">
        <v>1904</v>
      </c>
      <c r="E29" s="70">
        <v>8820</v>
      </c>
      <c r="F29" s="70">
        <f t="shared" si="0"/>
        <v>-55</v>
      </c>
      <c r="G29" s="70">
        <f t="shared" si="1"/>
        <v>-183</v>
      </c>
      <c r="H29" s="72">
        <f t="shared" si="2"/>
        <v>-1.6778215824699735E-2</v>
      </c>
      <c r="I29" s="45"/>
      <c r="J29" s="44"/>
      <c r="K29" s="44"/>
      <c r="L29" s="44"/>
      <c r="M29" s="44"/>
      <c r="N29" s="44"/>
      <c r="O29" s="44"/>
    </row>
    <row r="30" spans="2:15" s="38" customFormat="1" ht="15" x14ac:dyDescent="0.2">
      <c r="B30" s="51">
        <v>41183</v>
      </c>
      <c r="C30" s="53">
        <v>10704</v>
      </c>
      <c r="D30" s="53">
        <v>1902</v>
      </c>
      <c r="E30" s="53">
        <v>8802</v>
      </c>
      <c r="F30" s="53">
        <f t="shared" si="0"/>
        <v>-20</v>
      </c>
      <c r="G30" s="53">
        <f t="shared" si="1"/>
        <v>-75</v>
      </c>
      <c r="H30" s="55">
        <f t="shared" si="2"/>
        <v>-6.9579738380183692E-3</v>
      </c>
      <c r="I30" s="44"/>
      <c r="J30" s="44"/>
      <c r="K30" s="44"/>
      <c r="L30" s="44"/>
      <c r="M30" s="44"/>
      <c r="N30" s="44"/>
      <c r="O30" s="44"/>
    </row>
    <row r="31" spans="2:15" s="38" customFormat="1" ht="15" x14ac:dyDescent="0.2">
      <c r="B31" s="141">
        <v>41365</v>
      </c>
      <c r="C31" s="70">
        <v>10629</v>
      </c>
      <c r="D31" s="70">
        <v>1901</v>
      </c>
      <c r="E31" s="70">
        <v>8728</v>
      </c>
      <c r="F31" s="70">
        <f t="shared" si="0"/>
        <v>-75</v>
      </c>
      <c r="G31" s="70">
        <f t="shared" si="1"/>
        <v>-95</v>
      </c>
      <c r="H31" s="72">
        <f t="shared" si="2"/>
        <v>-8.8586348377471084E-3</v>
      </c>
      <c r="I31" s="44"/>
      <c r="J31" s="44"/>
      <c r="K31" s="44"/>
      <c r="L31" s="44"/>
      <c r="M31" s="44"/>
      <c r="N31" s="44"/>
      <c r="O31" s="44"/>
    </row>
    <row r="32" spans="2:15" s="38" customFormat="1" ht="15" x14ac:dyDescent="0.2">
      <c r="B32" s="51">
        <v>41548</v>
      </c>
      <c r="C32" s="53">
        <v>10490</v>
      </c>
      <c r="D32" s="53">
        <v>1875</v>
      </c>
      <c r="E32" s="53">
        <v>8615</v>
      </c>
      <c r="F32" s="53">
        <f t="shared" si="0"/>
        <v>-139</v>
      </c>
      <c r="G32" s="53">
        <f t="shared" si="1"/>
        <v>-214</v>
      </c>
      <c r="H32" s="55">
        <f t="shared" si="2"/>
        <v>-1.9992526158445441E-2</v>
      </c>
      <c r="I32" s="44"/>
      <c r="J32" s="44"/>
      <c r="K32" s="44"/>
      <c r="L32" s="44"/>
      <c r="M32" s="44"/>
      <c r="N32" s="44"/>
      <c r="O32" s="44"/>
    </row>
    <row r="33" spans="2:15" s="38" customFormat="1" ht="15" x14ac:dyDescent="0.2">
      <c r="B33" s="141">
        <v>41730</v>
      </c>
      <c r="C33" s="70">
        <v>10362</v>
      </c>
      <c r="D33" s="70">
        <v>1860</v>
      </c>
      <c r="E33" s="70">
        <v>8502</v>
      </c>
      <c r="F33" s="70">
        <f t="shared" si="0"/>
        <v>-128</v>
      </c>
      <c r="G33" s="70">
        <f t="shared" si="1"/>
        <v>-267</v>
      </c>
      <c r="H33" s="72">
        <f t="shared" si="2"/>
        <v>-2.5119954840530624E-2</v>
      </c>
      <c r="I33" s="44"/>
      <c r="J33" s="44"/>
      <c r="K33" s="44"/>
      <c r="L33" s="44"/>
      <c r="M33" s="44"/>
      <c r="N33" s="44"/>
      <c r="O33" s="44"/>
    </row>
    <row r="34" spans="2:15" s="38" customFormat="1" ht="15" x14ac:dyDescent="0.2">
      <c r="B34" s="51">
        <v>41913</v>
      </c>
      <c r="C34" s="53">
        <v>10064</v>
      </c>
      <c r="D34" s="53">
        <v>1835</v>
      </c>
      <c r="E34" s="53">
        <v>8229</v>
      </c>
      <c r="F34" s="53">
        <f t="shared" si="0"/>
        <v>-298</v>
      </c>
      <c r="G34" s="53">
        <f t="shared" si="1"/>
        <v>-426</v>
      </c>
      <c r="H34" s="55">
        <f t="shared" si="2"/>
        <v>-4.0610104861773119E-2</v>
      </c>
      <c r="I34" s="44"/>
      <c r="J34" s="44"/>
      <c r="K34" s="44"/>
      <c r="L34" s="44"/>
      <c r="M34" s="44"/>
      <c r="N34" s="44"/>
      <c r="O34" s="44"/>
    </row>
    <row r="35" spans="2:15" s="38" customFormat="1" ht="15" x14ac:dyDescent="0.2">
      <c r="B35" s="141">
        <v>42095</v>
      </c>
      <c r="C35" s="70">
        <v>9867</v>
      </c>
      <c r="D35" s="70">
        <v>1801</v>
      </c>
      <c r="E35" s="70">
        <v>8066</v>
      </c>
      <c r="F35" s="70">
        <f t="shared" si="0"/>
        <v>-197</v>
      </c>
      <c r="G35" s="70">
        <f t="shared" si="1"/>
        <v>-495</v>
      </c>
      <c r="H35" s="72">
        <f t="shared" si="2"/>
        <v>-4.7770700636942678E-2</v>
      </c>
      <c r="I35" s="44"/>
      <c r="J35" s="44"/>
      <c r="K35" s="44"/>
      <c r="L35" s="44"/>
      <c r="M35" s="44"/>
      <c r="N35" s="44"/>
      <c r="O35" s="44"/>
    </row>
    <row r="36" spans="2:15" s="38" customFormat="1" ht="15" x14ac:dyDescent="0.2">
      <c r="B36" s="51">
        <v>42278</v>
      </c>
      <c r="C36" s="53">
        <v>9673</v>
      </c>
      <c r="D36" s="53">
        <v>1768</v>
      </c>
      <c r="E36" s="53">
        <v>7905</v>
      </c>
      <c r="F36" s="53">
        <f t="shared" si="0"/>
        <v>-194</v>
      </c>
      <c r="G36" s="53">
        <f t="shared" si="1"/>
        <v>-391</v>
      </c>
      <c r="H36" s="55">
        <f t="shared" si="2"/>
        <v>-3.885135135135135E-2</v>
      </c>
      <c r="I36" s="44"/>
      <c r="J36" s="44"/>
      <c r="K36" s="44"/>
      <c r="L36" s="44"/>
      <c r="M36" s="44"/>
      <c r="N36" s="44"/>
      <c r="O36" s="44"/>
    </row>
    <row r="37" spans="2:15" s="38" customFormat="1" ht="15" x14ac:dyDescent="0.2">
      <c r="B37" s="141">
        <v>42461</v>
      </c>
      <c r="C37" s="70">
        <v>9586</v>
      </c>
      <c r="D37" s="70">
        <v>1758</v>
      </c>
      <c r="E37" s="70">
        <v>7828</v>
      </c>
      <c r="F37" s="70">
        <f t="shared" si="0"/>
        <v>-87</v>
      </c>
      <c r="G37" s="70">
        <f t="shared" si="1"/>
        <v>-281</v>
      </c>
      <c r="H37" s="72">
        <f t="shared" si="2"/>
        <v>-2.8478767609202392E-2</v>
      </c>
      <c r="I37" s="44"/>
      <c r="J37" s="44"/>
      <c r="K37" s="44"/>
      <c r="L37" s="44"/>
      <c r="M37" s="44"/>
      <c r="N37" s="44"/>
      <c r="O37" s="44"/>
    </row>
    <row r="38" spans="2:15" s="38" customFormat="1" ht="15" x14ac:dyDescent="0.2">
      <c r="B38" s="51">
        <v>42644</v>
      </c>
      <c r="C38" s="53">
        <v>9511</v>
      </c>
      <c r="D38" s="53">
        <v>1743</v>
      </c>
      <c r="E38" s="53">
        <v>7768</v>
      </c>
      <c r="F38" s="53">
        <f t="shared" si="0"/>
        <v>-75</v>
      </c>
      <c r="G38" s="53">
        <f t="shared" si="1"/>
        <v>-162</v>
      </c>
      <c r="H38" s="55">
        <f t="shared" si="2"/>
        <v>-1.6747648092628967E-2</v>
      </c>
      <c r="I38" s="44"/>
      <c r="J38" s="44"/>
      <c r="K38" s="44"/>
      <c r="L38" s="44"/>
      <c r="M38" s="44"/>
      <c r="N38" s="44"/>
      <c r="O38" s="44"/>
    </row>
    <row r="39" spans="2:15" s="38" customFormat="1" ht="15" x14ac:dyDescent="0.2">
      <c r="B39" s="141">
        <v>42826</v>
      </c>
      <c r="C39" s="70">
        <v>9446</v>
      </c>
      <c r="D39" s="70">
        <v>1732</v>
      </c>
      <c r="E39" s="70">
        <v>7714</v>
      </c>
      <c r="F39" s="70">
        <f t="shared" si="0"/>
        <v>-65</v>
      </c>
      <c r="G39" s="70">
        <f t="shared" si="1"/>
        <v>-140</v>
      </c>
      <c r="H39" s="72">
        <f t="shared" si="2"/>
        <v>-1.4604631754642187E-2</v>
      </c>
      <c r="I39" s="44"/>
      <c r="J39" s="44"/>
      <c r="K39" s="44"/>
      <c r="L39" s="44"/>
      <c r="M39" s="44"/>
      <c r="N39" s="44"/>
      <c r="O39" s="44"/>
    </row>
    <row r="40" spans="2:15" s="38" customFormat="1" ht="15" x14ac:dyDescent="0.2">
      <c r="B40" s="51">
        <v>43009</v>
      </c>
      <c r="C40" s="53">
        <v>9365</v>
      </c>
      <c r="D40" s="53">
        <v>1725</v>
      </c>
      <c r="E40" s="53">
        <v>7640</v>
      </c>
      <c r="F40" s="53">
        <f t="shared" si="0"/>
        <v>-81</v>
      </c>
      <c r="G40" s="53">
        <f t="shared" si="1"/>
        <v>-146</v>
      </c>
      <c r="H40" s="55">
        <f t="shared" si="2"/>
        <v>-1.5350646619703501E-2</v>
      </c>
      <c r="I40" s="44"/>
      <c r="J40" s="44"/>
      <c r="K40" s="44"/>
      <c r="L40" s="44"/>
      <c r="M40" s="44"/>
      <c r="N40" s="44"/>
      <c r="O40" s="44"/>
    </row>
    <row r="41" spans="2:15" s="38" customFormat="1" ht="15" x14ac:dyDescent="0.2">
      <c r="B41" s="141">
        <v>43191</v>
      </c>
      <c r="C41" s="70">
        <f t="shared" ref="C41:C44" si="3">SUM(D41:E41)</f>
        <v>9326</v>
      </c>
      <c r="D41" s="70">
        <f>'England and Wales (by county)'!N79</f>
        <v>1723</v>
      </c>
      <c r="E41" s="70">
        <f>'England and Wales (by county)'!N69</f>
        <v>7603</v>
      </c>
      <c r="F41" s="70">
        <f t="shared" si="0"/>
        <v>-39</v>
      </c>
      <c r="G41" s="70">
        <f t="shared" si="1"/>
        <v>-120</v>
      </c>
      <c r="H41" s="72">
        <f t="shared" si="2"/>
        <v>-1.2703789964005929E-2</v>
      </c>
      <c r="I41" s="44"/>
      <c r="J41" s="44"/>
      <c r="K41" s="44"/>
      <c r="L41" s="44"/>
      <c r="M41" s="44"/>
      <c r="N41" s="44"/>
      <c r="O41" s="44"/>
    </row>
    <row r="42" spans="2:15" s="38" customFormat="1" ht="15" x14ac:dyDescent="0.2">
      <c r="B42" s="51">
        <v>43374</v>
      </c>
      <c r="C42" s="53">
        <f t="shared" si="3"/>
        <v>9285</v>
      </c>
      <c r="D42" s="53">
        <f>'England and Wales (by county)'!O79</f>
        <v>1710</v>
      </c>
      <c r="E42" s="53">
        <f>'England and Wales (by county)'!O69</f>
        <v>7575</v>
      </c>
      <c r="F42" s="53">
        <f t="shared" si="0"/>
        <v>-41</v>
      </c>
      <c r="G42" s="53">
        <f t="shared" si="1"/>
        <v>-80</v>
      </c>
      <c r="H42" s="55">
        <f t="shared" si="2"/>
        <v>-8.5424452749599568E-3</v>
      </c>
      <c r="I42" s="44"/>
      <c r="J42" s="44"/>
      <c r="K42" s="44"/>
      <c r="L42" s="44"/>
      <c r="M42" s="44"/>
      <c r="N42" s="44"/>
      <c r="O42" s="44"/>
    </row>
    <row r="43" spans="2:15" s="38" customFormat="1" ht="15" x14ac:dyDescent="0.2">
      <c r="B43" s="141">
        <v>43556</v>
      </c>
      <c r="C43" s="70">
        <f t="shared" si="3"/>
        <v>8858</v>
      </c>
      <c r="D43" s="70">
        <f>'England and Wales (by county)'!P79</f>
        <v>1662</v>
      </c>
      <c r="E43" s="70">
        <f>'England and Wales (by county)'!P69</f>
        <v>7196</v>
      </c>
      <c r="F43" s="70">
        <f t="shared" si="0"/>
        <v>-427</v>
      </c>
      <c r="G43" s="70">
        <f t="shared" si="1"/>
        <v>-468</v>
      </c>
      <c r="H43" s="72">
        <f t="shared" si="2"/>
        <v>-5.0182286081921511E-2</v>
      </c>
      <c r="I43" s="44"/>
      <c r="J43" s="44"/>
      <c r="K43" s="44"/>
      <c r="L43" s="44"/>
      <c r="M43" s="44"/>
      <c r="N43" s="44"/>
      <c r="O43" s="44"/>
    </row>
    <row r="44" spans="2:15" s="38" customFormat="1" ht="15" x14ac:dyDescent="0.2">
      <c r="B44" s="51">
        <v>43739</v>
      </c>
      <c r="C44" s="53">
        <f t="shared" si="3"/>
        <v>8610</v>
      </c>
      <c r="D44" s="53">
        <f>'England and Wales (by county)'!Q79</f>
        <v>1660</v>
      </c>
      <c r="E44" s="53">
        <f>'England and Wales (by county)'!Q69</f>
        <v>6950</v>
      </c>
      <c r="F44" s="53">
        <f t="shared" si="0"/>
        <v>-248</v>
      </c>
      <c r="G44" s="53">
        <f t="shared" si="1"/>
        <v>-675</v>
      </c>
      <c r="H44" s="55">
        <f t="shared" si="2"/>
        <v>-7.2697899838449112E-2</v>
      </c>
      <c r="I44" s="44"/>
      <c r="J44" s="44"/>
      <c r="K44" s="44"/>
      <c r="L44" s="44"/>
      <c r="M44" s="44"/>
      <c r="N44" s="44"/>
      <c r="O44" s="44"/>
    </row>
    <row r="45" spans="2:15" ht="15" x14ac:dyDescent="0.2">
      <c r="B45" s="141">
        <v>43922</v>
      </c>
      <c r="C45" s="70">
        <f t="shared" ref="C45" si="4">SUM(D45:E45)</f>
        <v>8454</v>
      </c>
      <c r="D45" s="70">
        <f>'England and Wales (by county)'!R79</f>
        <v>1614</v>
      </c>
      <c r="E45" s="70">
        <f>'England and Wales (by county)'!R69</f>
        <v>6840</v>
      </c>
      <c r="F45" s="70">
        <f t="shared" si="0"/>
        <v>-156</v>
      </c>
      <c r="G45" s="70">
        <f t="shared" si="1"/>
        <v>-404</v>
      </c>
      <c r="H45" s="72">
        <f t="shared" si="2"/>
        <v>-4.5608489501016029E-2</v>
      </c>
    </row>
    <row r="46" spans="2:15" ht="15" x14ac:dyDescent="0.2">
      <c r="B46" s="51">
        <v>44105</v>
      </c>
      <c r="C46" s="53">
        <f t="shared" ref="C46:C47" si="5">SUM(D46:E46)</f>
        <v>8352</v>
      </c>
      <c r="D46" s="53">
        <f>'England and Wales (by county)'!S79</f>
        <v>1588</v>
      </c>
      <c r="E46" s="53">
        <f>'England and Wales (by county)'!S69</f>
        <v>6764</v>
      </c>
      <c r="F46" s="53">
        <f t="shared" si="0"/>
        <v>-102</v>
      </c>
      <c r="G46" s="53">
        <f t="shared" si="1"/>
        <v>-258</v>
      </c>
      <c r="H46" s="55">
        <f t="shared" si="2"/>
        <v>-2.9965156794425088E-2</v>
      </c>
    </row>
    <row r="47" spans="2:15" ht="15" x14ac:dyDescent="0.2">
      <c r="B47" s="141">
        <v>44287</v>
      </c>
      <c r="C47" s="70">
        <f t="shared" si="5"/>
        <v>8234</v>
      </c>
      <c r="D47" s="70">
        <f>'England and Wales (by county)'!T79</f>
        <v>1568</v>
      </c>
      <c r="E47" s="70">
        <f>'England and Wales (by county)'!T69</f>
        <v>6666</v>
      </c>
      <c r="F47" s="70">
        <f t="shared" ref="F47:F48" si="6">C47-C46</f>
        <v>-118</v>
      </c>
      <c r="G47" s="70">
        <f t="shared" ref="G47:G48" si="7">C47-C45</f>
        <v>-220</v>
      </c>
      <c r="H47" s="72">
        <f t="shared" ref="H47" si="8">SUM(C47-C45)/C45</f>
        <v>-2.6023184291459663E-2</v>
      </c>
    </row>
    <row r="48" spans="2:15" ht="15" x14ac:dyDescent="0.2">
      <c r="B48" s="51">
        <v>44470</v>
      </c>
      <c r="C48" s="53">
        <f t="shared" ref="C48" si="9">SUM(D48:E48)</f>
        <v>8102</v>
      </c>
      <c r="D48" s="53">
        <f>'England and Wales (by county)'!U79</f>
        <v>1531</v>
      </c>
      <c r="E48" s="53">
        <f>'England and Wales (by county)'!U69</f>
        <v>6571</v>
      </c>
      <c r="F48" s="53">
        <f t="shared" si="6"/>
        <v>-132</v>
      </c>
      <c r="G48" s="53">
        <f t="shared" si="7"/>
        <v>-250</v>
      </c>
      <c r="H48" s="55">
        <f t="shared" ref="H48" si="10">SUM(C48-C46)/C46</f>
        <v>-2.9932950191570881E-2</v>
      </c>
    </row>
    <row r="49" spans="2:8" ht="15" x14ac:dyDescent="0.2">
      <c r="B49" s="141">
        <v>44652</v>
      </c>
      <c r="C49" s="70">
        <f t="shared" ref="C49" si="11">SUM(D49:E49)</f>
        <v>7926</v>
      </c>
      <c r="D49" s="70">
        <f>'England and Wales (by county)'!V79</f>
        <v>1490</v>
      </c>
      <c r="E49" s="70">
        <f>'England and Wales (by county)'!V69</f>
        <v>6436</v>
      </c>
      <c r="F49" s="70">
        <f t="shared" ref="F49:F50" si="12">C49-C48</f>
        <v>-176</v>
      </c>
      <c r="G49" s="70">
        <f>C49-C47</f>
        <v>-308</v>
      </c>
      <c r="H49" s="72">
        <f t="shared" ref="H49:H50" si="13">SUM(C49-C47)/C47</f>
        <v>-3.7405878066553315E-2</v>
      </c>
    </row>
    <row r="50" spans="2:8" ht="15" x14ac:dyDescent="0.2">
      <c r="B50" s="51">
        <v>44835</v>
      </c>
      <c r="C50" s="53">
        <f t="shared" ref="C50:C51" si="14">SUM(D50:E50)</f>
        <v>7710</v>
      </c>
      <c r="D50" s="53">
        <f>'England and Wales (by county)'!W79</f>
        <v>1446</v>
      </c>
      <c r="E50" s="53">
        <f>'England and Wales (by county)'!W69</f>
        <v>6264</v>
      </c>
      <c r="F50" s="53">
        <f t="shared" si="12"/>
        <v>-216</v>
      </c>
      <c r="G50" s="53">
        <f t="shared" ref="G50" si="15">C50-C48</f>
        <v>-392</v>
      </c>
      <c r="H50" s="55">
        <f t="shared" si="13"/>
        <v>-4.8383115280177733E-2</v>
      </c>
    </row>
    <row r="51" spans="2:8" ht="15" x14ac:dyDescent="0.2">
      <c r="B51" s="141">
        <v>45017</v>
      </c>
      <c r="C51" s="70">
        <f t="shared" si="14"/>
        <v>7549</v>
      </c>
      <c r="D51" s="70">
        <f>'England and Wales (by county)'!X79</f>
        <v>1413</v>
      </c>
      <c r="E51" s="70">
        <f>'England and Wales (by county)'!X69</f>
        <v>6136</v>
      </c>
      <c r="F51" s="70">
        <f t="shared" ref="F51:F52" si="16">C51-C50</f>
        <v>-161</v>
      </c>
      <c r="G51" s="70">
        <f>C51-C49</f>
        <v>-377</v>
      </c>
      <c r="H51" s="72">
        <f t="shared" ref="H51:H52" si="17">SUM(C51-C49)/C49</f>
        <v>-4.7564976028261416E-2</v>
      </c>
    </row>
    <row r="52" spans="2:8" ht="15" x14ac:dyDescent="0.2">
      <c r="B52" s="51">
        <v>45200</v>
      </c>
      <c r="C52" s="53">
        <f t="shared" ref="C52" si="18">SUM(D52:E52)</f>
        <v>7378</v>
      </c>
      <c r="D52" s="53">
        <f>'England and Wales (by county)'!Y79</f>
        <v>1389</v>
      </c>
      <c r="E52" s="53">
        <f>'England and Wales (by county)'!Y69</f>
        <v>5989</v>
      </c>
      <c r="F52" s="53">
        <f t="shared" si="16"/>
        <v>-171</v>
      </c>
      <c r="G52" s="53">
        <f t="shared" ref="G52" si="19">C52-C50</f>
        <v>-332</v>
      </c>
      <c r="H52" s="55">
        <f t="shared" si="17"/>
        <v>-4.3060959792477302E-2</v>
      </c>
    </row>
  </sheetData>
  <phoneticPr fontId="8" type="noConversion"/>
  <pageMargins left="0.75" right="0.75" top="1" bottom="1" header="0.5" footer="0.5"/>
  <pageSetup paperSize="9" orientation="portrait" horizontalDpi="300" verticalDpi="300" r:id="rId1"/>
  <headerFooter alignWithMargins="0"/>
  <ignoredErrors>
    <ignoredError sqref="C48 H4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36"/>
  <sheetViews>
    <sheetView showGridLines="0" workbookViewId="0">
      <pane xSplit="2" ySplit="9" topLeftCell="O57" activePane="bottomRight" state="frozen"/>
      <selection pane="topRight" activeCell="B1" sqref="B1"/>
      <selection pane="bottomLeft" activeCell="A10" sqref="A10"/>
      <selection pane="bottomRight" activeCell="B6" sqref="B6"/>
    </sheetView>
  </sheetViews>
  <sheetFormatPr defaultColWidth="9.140625" defaultRowHeight="12.75" x14ac:dyDescent="0.2"/>
  <cols>
    <col min="1" max="1" width="8.85546875" customWidth="1"/>
    <col min="2" max="2" width="36.7109375" customWidth="1"/>
    <col min="3" max="13" width="9" customWidth="1"/>
    <col min="14" max="25" width="9" style="11" customWidth="1"/>
    <col min="26" max="26" width="23.42578125" customWidth="1"/>
    <col min="27" max="27" width="26.140625" customWidth="1"/>
  </cols>
  <sheetData>
    <row r="1" spans="1:59" x14ac:dyDescent="0.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row>
    <row r="2" spans="1:59" x14ac:dyDescent="0.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row>
    <row r="3" spans="1:59" ht="20.25" x14ac:dyDescent="0.3">
      <c r="A3" s="37" t="s">
        <v>97</v>
      </c>
      <c r="B3" s="37"/>
      <c r="C3" s="14"/>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row>
    <row r="4" spans="1:59" ht="15" customHeight="1" x14ac:dyDescent="0.2">
      <c r="A4" s="49" t="s">
        <v>148</v>
      </c>
      <c r="B4" s="49"/>
      <c r="C4" s="49"/>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row>
    <row r="5" spans="1:59" s="67" customFormat="1" ht="15" customHeight="1" x14ac:dyDescent="0.2">
      <c r="A5" s="49" t="s">
        <v>149</v>
      </c>
      <c r="B5" s="50"/>
      <c r="C5" s="50"/>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row>
    <row r="6" spans="1:59" ht="15" customHeight="1" x14ac:dyDescent="0.25">
      <c r="A6" s="167" t="s">
        <v>152</v>
      </c>
      <c r="B6" s="167"/>
      <c r="C6" s="48"/>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row>
    <row r="7" spans="1:59" ht="15" customHeight="1" x14ac:dyDescent="0.2">
      <c r="B7" s="15"/>
      <c r="C7" s="1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row>
    <row r="8" spans="1:59" ht="15.75" x14ac:dyDescent="0.25">
      <c r="B8" s="58"/>
      <c r="C8" s="59">
        <v>41183</v>
      </c>
      <c r="D8" s="59">
        <v>41365</v>
      </c>
      <c r="E8" s="59">
        <v>41548</v>
      </c>
      <c r="F8" s="59">
        <v>41730</v>
      </c>
      <c r="G8" s="59">
        <v>41913</v>
      </c>
      <c r="H8" s="59">
        <v>42095</v>
      </c>
      <c r="I8" s="59">
        <v>42278</v>
      </c>
      <c r="J8" s="59">
        <v>42461</v>
      </c>
      <c r="K8" s="59">
        <v>42644</v>
      </c>
      <c r="L8" s="59">
        <v>42826</v>
      </c>
      <c r="M8" s="59">
        <v>43009</v>
      </c>
      <c r="N8" s="59">
        <v>43191</v>
      </c>
      <c r="O8" s="59">
        <v>43374</v>
      </c>
      <c r="P8" s="59">
        <v>43556</v>
      </c>
      <c r="Q8" s="59">
        <v>43739</v>
      </c>
      <c r="R8" s="59">
        <v>43922</v>
      </c>
      <c r="S8" s="59">
        <v>44105</v>
      </c>
      <c r="T8" s="59">
        <v>44287</v>
      </c>
      <c r="U8" s="59">
        <v>44470</v>
      </c>
      <c r="V8" s="59">
        <v>44652</v>
      </c>
      <c r="W8" s="59">
        <v>44835</v>
      </c>
      <c r="X8" s="59">
        <v>45017</v>
      </c>
      <c r="Y8" s="59">
        <v>45200</v>
      </c>
      <c r="Z8" s="60" t="s">
        <v>132</v>
      </c>
      <c r="AA8" s="60" t="s">
        <v>133</v>
      </c>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row>
    <row r="9" spans="1:59" s="32" customFormat="1" ht="15.75" x14ac:dyDescent="0.25">
      <c r="A9" s="57"/>
      <c r="B9" s="125" t="s">
        <v>4</v>
      </c>
      <c r="C9" s="61"/>
      <c r="D9" s="61"/>
      <c r="E9" s="61"/>
      <c r="F9" s="61"/>
      <c r="G9" s="61"/>
      <c r="H9" s="61"/>
      <c r="I9" s="61"/>
      <c r="J9" s="61"/>
      <c r="K9" s="61"/>
      <c r="L9" s="61"/>
      <c r="M9" s="61"/>
      <c r="N9" s="61"/>
      <c r="O9" s="61"/>
      <c r="P9" s="61"/>
      <c r="Q9" s="61"/>
      <c r="R9" s="61"/>
      <c r="S9" s="61"/>
      <c r="T9" s="61"/>
      <c r="U9" s="61"/>
      <c r="V9" s="61"/>
      <c r="W9" s="61"/>
      <c r="X9" s="61"/>
      <c r="Y9" s="61"/>
      <c r="Z9" s="61"/>
      <c r="AA9" s="61"/>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row>
    <row r="10" spans="1:59" ht="15" x14ac:dyDescent="0.2">
      <c r="B10" s="62" t="s">
        <v>40</v>
      </c>
      <c r="C10" s="53">
        <v>873</v>
      </c>
      <c r="D10" s="53">
        <v>870</v>
      </c>
      <c r="E10" s="53">
        <v>852</v>
      </c>
      <c r="F10" s="53">
        <v>839</v>
      </c>
      <c r="G10" s="53">
        <v>812</v>
      </c>
      <c r="H10" s="53">
        <v>801</v>
      </c>
      <c r="I10" s="69">
        <v>785</v>
      </c>
      <c r="J10" s="69">
        <v>784</v>
      </c>
      <c r="K10" s="69">
        <v>782</v>
      </c>
      <c r="L10" s="53">
        <v>778</v>
      </c>
      <c r="M10" s="53">
        <v>777</v>
      </c>
      <c r="N10" s="53">
        <v>773</v>
      </c>
      <c r="O10" s="53">
        <v>774</v>
      </c>
      <c r="P10" s="53">
        <v>729</v>
      </c>
      <c r="Q10" s="53">
        <v>703</v>
      </c>
      <c r="R10" s="53">
        <v>696</v>
      </c>
      <c r="S10" s="53">
        <v>688</v>
      </c>
      <c r="T10" s="53">
        <v>684</v>
      </c>
      <c r="U10" s="53">
        <v>675</v>
      </c>
      <c r="V10" s="53">
        <v>670</v>
      </c>
      <c r="W10" s="53">
        <v>649</v>
      </c>
      <c r="X10" s="53">
        <v>635</v>
      </c>
      <c r="Y10" s="53">
        <v>627</v>
      </c>
      <c r="Z10" s="53">
        <f>Y10-X10</f>
        <v>-8</v>
      </c>
      <c r="AA10" s="55">
        <f>Y10/X10-1</f>
        <v>-1.2598425196850394E-2</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row>
    <row r="11" spans="1:59" ht="15" x14ac:dyDescent="0.2">
      <c r="B11" s="63" t="s">
        <v>41</v>
      </c>
      <c r="C11" s="70">
        <v>62</v>
      </c>
      <c r="D11" s="70">
        <f>57+5</f>
        <v>62</v>
      </c>
      <c r="E11" s="70">
        <f>55+5</f>
        <v>60</v>
      </c>
      <c r="F11" s="70">
        <f t="shared" ref="F11" si="0">53+4</f>
        <v>57</v>
      </c>
      <c r="G11" s="70">
        <v>56</v>
      </c>
      <c r="H11" s="70">
        <v>54</v>
      </c>
      <c r="I11" s="71">
        <v>53</v>
      </c>
      <c r="J11" s="71">
        <v>53</v>
      </c>
      <c r="K11" s="71">
        <v>53</v>
      </c>
      <c r="L11" s="70">
        <v>51</v>
      </c>
      <c r="M11" s="70">
        <f>49+2</f>
        <v>51</v>
      </c>
      <c r="N11" s="71">
        <f>46+2</f>
        <v>48</v>
      </c>
      <c r="O11" s="70">
        <v>50</v>
      </c>
      <c r="P11" s="70">
        <v>44</v>
      </c>
      <c r="Q11" s="70">
        <v>43</v>
      </c>
      <c r="R11" s="70">
        <v>43</v>
      </c>
      <c r="S11" s="70">
        <v>43</v>
      </c>
      <c r="T11" s="70">
        <v>42</v>
      </c>
      <c r="U11" s="70">
        <v>41</v>
      </c>
      <c r="V11" s="70">
        <v>41</v>
      </c>
      <c r="W11" s="70">
        <v>40</v>
      </c>
      <c r="X11" s="70">
        <v>39</v>
      </c>
      <c r="Y11" s="70">
        <v>36</v>
      </c>
      <c r="Z11" s="70">
        <f t="shared" ref="Z11:Z17" si="1">Y11-X11</f>
        <v>-3</v>
      </c>
      <c r="AA11" s="72">
        <f t="shared" ref="AA11:AA17" si="2">Y11/X11-1</f>
        <v>-7.6923076923076872E-2</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row>
    <row r="12" spans="1:59" ht="15" x14ac:dyDescent="0.2">
      <c r="B12" s="62" t="s">
        <v>42</v>
      </c>
      <c r="C12" s="53">
        <v>38</v>
      </c>
      <c r="D12" s="53">
        <v>38</v>
      </c>
      <c r="E12" s="53">
        <v>37</v>
      </c>
      <c r="F12" s="53">
        <v>37</v>
      </c>
      <c r="G12" s="53">
        <v>36</v>
      </c>
      <c r="H12" s="53">
        <v>35</v>
      </c>
      <c r="I12" s="69">
        <v>35</v>
      </c>
      <c r="J12" s="69">
        <v>34</v>
      </c>
      <c r="K12" s="69">
        <v>34</v>
      </c>
      <c r="L12" s="53">
        <v>34</v>
      </c>
      <c r="M12" s="53">
        <v>34</v>
      </c>
      <c r="N12" s="53">
        <v>34</v>
      </c>
      <c r="O12" s="53">
        <v>35</v>
      </c>
      <c r="P12" s="53">
        <v>32</v>
      </c>
      <c r="Q12" s="53">
        <v>31</v>
      </c>
      <c r="R12" s="53">
        <v>31</v>
      </c>
      <c r="S12" s="53">
        <v>31</v>
      </c>
      <c r="T12" s="53">
        <v>31</v>
      </c>
      <c r="U12" s="53">
        <v>31</v>
      </c>
      <c r="V12" s="53">
        <v>31</v>
      </c>
      <c r="W12" s="53">
        <v>29</v>
      </c>
      <c r="X12" s="53">
        <v>28</v>
      </c>
      <c r="Y12" s="53">
        <v>28</v>
      </c>
      <c r="Z12" s="53">
        <f t="shared" si="1"/>
        <v>0</v>
      </c>
      <c r="AA12" s="55" t="s">
        <v>155</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row>
    <row r="13" spans="1:59" ht="15" x14ac:dyDescent="0.2">
      <c r="B13" s="63" t="s">
        <v>43</v>
      </c>
      <c r="C13" s="70">
        <v>587</v>
      </c>
      <c r="D13" s="70">
        <v>582</v>
      </c>
      <c r="E13" s="70">
        <v>571</v>
      </c>
      <c r="F13" s="70">
        <v>552</v>
      </c>
      <c r="G13" s="70">
        <v>523</v>
      </c>
      <c r="H13" s="70">
        <v>508</v>
      </c>
      <c r="I13" s="71">
        <v>501</v>
      </c>
      <c r="J13" s="71">
        <v>492</v>
      </c>
      <c r="K13" s="71">
        <v>490</v>
      </c>
      <c r="L13" s="70">
        <v>488</v>
      </c>
      <c r="M13" s="70">
        <v>484</v>
      </c>
      <c r="N13" s="71">
        <v>478</v>
      </c>
      <c r="O13" s="70">
        <v>474</v>
      </c>
      <c r="P13" s="70">
        <v>437</v>
      </c>
      <c r="Q13" s="70">
        <v>419</v>
      </c>
      <c r="R13" s="70">
        <v>416</v>
      </c>
      <c r="S13" s="70">
        <v>412</v>
      </c>
      <c r="T13" s="70">
        <v>410</v>
      </c>
      <c r="U13" s="70">
        <v>405</v>
      </c>
      <c r="V13" s="70">
        <v>402</v>
      </c>
      <c r="W13" s="70">
        <v>400</v>
      </c>
      <c r="X13" s="70">
        <v>388</v>
      </c>
      <c r="Y13" s="70">
        <v>382</v>
      </c>
      <c r="Z13" s="70">
        <f t="shared" si="1"/>
        <v>-6</v>
      </c>
      <c r="AA13" s="72">
        <f t="shared" si="2"/>
        <v>-1.5463917525773141E-2</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row>
    <row r="14" spans="1:59" ht="15" x14ac:dyDescent="0.2">
      <c r="B14" s="62" t="s">
        <v>39</v>
      </c>
      <c r="C14" s="53">
        <v>26</v>
      </c>
      <c r="D14" s="53">
        <v>26</v>
      </c>
      <c r="E14" s="53">
        <v>26</v>
      </c>
      <c r="F14" s="53">
        <v>26</v>
      </c>
      <c r="G14" s="53">
        <v>24</v>
      </c>
      <c r="H14" s="53">
        <v>23</v>
      </c>
      <c r="I14" s="69">
        <v>23</v>
      </c>
      <c r="J14" s="69">
        <v>23</v>
      </c>
      <c r="K14" s="69">
        <v>23</v>
      </c>
      <c r="L14" s="53">
        <v>23</v>
      </c>
      <c r="M14" s="53">
        <v>23</v>
      </c>
      <c r="N14" s="53">
        <v>22</v>
      </c>
      <c r="O14" s="53">
        <v>22</v>
      </c>
      <c r="P14" s="53">
        <v>20</v>
      </c>
      <c r="Q14" s="53">
        <v>17</v>
      </c>
      <c r="R14" s="53">
        <v>17</v>
      </c>
      <c r="S14" s="53">
        <v>17</v>
      </c>
      <c r="T14" s="53">
        <v>17</v>
      </c>
      <c r="U14" s="53">
        <v>16</v>
      </c>
      <c r="V14" s="53">
        <v>16</v>
      </c>
      <c r="W14" s="53">
        <v>15</v>
      </c>
      <c r="X14" s="53">
        <v>13</v>
      </c>
      <c r="Y14" s="53">
        <v>13</v>
      </c>
      <c r="Z14" s="53">
        <f t="shared" si="1"/>
        <v>0</v>
      </c>
      <c r="AA14" s="55" t="s">
        <v>155</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row>
    <row r="15" spans="1:59" ht="15" x14ac:dyDescent="0.2">
      <c r="B15" s="63" t="s">
        <v>44</v>
      </c>
      <c r="C15" s="70">
        <v>61</v>
      </c>
      <c r="D15" s="70">
        <v>60</v>
      </c>
      <c r="E15" s="70">
        <v>56</v>
      </c>
      <c r="F15" s="70">
        <v>54</v>
      </c>
      <c r="G15" s="70">
        <v>55</v>
      </c>
      <c r="H15" s="70">
        <v>54</v>
      </c>
      <c r="I15" s="71">
        <v>55</v>
      </c>
      <c r="J15" s="71">
        <v>54</v>
      </c>
      <c r="K15" s="71">
        <v>54</v>
      </c>
      <c r="L15" s="70">
        <v>54</v>
      </c>
      <c r="M15" s="70">
        <v>54</v>
      </c>
      <c r="N15" s="71">
        <v>54</v>
      </c>
      <c r="O15" s="70">
        <v>53</v>
      </c>
      <c r="P15" s="70">
        <v>49</v>
      </c>
      <c r="Q15" s="70">
        <v>48</v>
      </c>
      <c r="R15" s="70">
        <v>46</v>
      </c>
      <c r="S15" s="70">
        <v>46</v>
      </c>
      <c r="T15" s="70">
        <v>44</v>
      </c>
      <c r="U15" s="70">
        <v>44</v>
      </c>
      <c r="V15" s="70">
        <v>43</v>
      </c>
      <c r="W15" s="70">
        <v>41</v>
      </c>
      <c r="X15" s="70">
        <v>40</v>
      </c>
      <c r="Y15" s="70">
        <v>37</v>
      </c>
      <c r="Z15" s="70">
        <f t="shared" si="1"/>
        <v>-3</v>
      </c>
      <c r="AA15" s="72">
        <f t="shared" si="2"/>
        <v>-7.4999999999999956E-2</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row>
    <row r="16" spans="1:59" ht="15" x14ac:dyDescent="0.2">
      <c r="B16" s="62" t="s">
        <v>45</v>
      </c>
      <c r="C16" s="53">
        <v>14</v>
      </c>
      <c r="D16" s="53">
        <v>14</v>
      </c>
      <c r="E16" s="53">
        <v>14</v>
      </c>
      <c r="F16" s="53">
        <v>14</v>
      </c>
      <c r="G16" s="53">
        <v>12</v>
      </c>
      <c r="H16" s="53">
        <v>12</v>
      </c>
      <c r="I16" s="69">
        <v>12</v>
      </c>
      <c r="J16" s="69">
        <v>12</v>
      </c>
      <c r="K16" s="69">
        <v>12</v>
      </c>
      <c r="L16" s="53">
        <v>12</v>
      </c>
      <c r="M16" s="53">
        <v>12</v>
      </c>
      <c r="N16" s="53">
        <v>12</v>
      </c>
      <c r="O16" s="53">
        <v>12</v>
      </c>
      <c r="P16" s="53">
        <v>10</v>
      </c>
      <c r="Q16" s="53">
        <v>9</v>
      </c>
      <c r="R16" s="53">
        <v>9</v>
      </c>
      <c r="S16" s="53">
        <v>9</v>
      </c>
      <c r="T16" s="53">
        <v>9</v>
      </c>
      <c r="U16" s="53">
        <v>9</v>
      </c>
      <c r="V16" s="53">
        <v>9</v>
      </c>
      <c r="W16" s="53">
        <v>8</v>
      </c>
      <c r="X16" s="53">
        <v>8</v>
      </c>
      <c r="Y16" s="53">
        <v>8</v>
      </c>
      <c r="Z16" s="53">
        <f t="shared" si="1"/>
        <v>0</v>
      </c>
      <c r="AA16" s="55" t="s">
        <v>155</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row>
    <row r="17" spans="1:59" s="67" customFormat="1" ht="15.75" x14ac:dyDescent="0.25">
      <c r="B17" s="64" t="s">
        <v>146</v>
      </c>
      <c r="C17" s="73">
        <f t="shared" ref="C17:G17" si="3">SUM(C10:C16)</f>
        <v>1661</v>
      </c>
      <c r="D17" s="73">
        <f t="shared" si="3"/>
        <v>1652</v>
      </c>
      <c r="E17" s="73">
        <f t="shared" si="3"/>
        <v>1616</v>
      </c>
      <c r="F17" s="73">
        <f t="shared" si="3"/>
        <v>1579</v>
      </c>
      <c r="G17" s="73">
        <f t="shared" si="3"/>
        <v>1518</v>
      </c>
      <c r="H17" s="73">
        <f t="shared" ref="H17:J17" si="4">SUM(H10:H16)</f>
        <v>1487</v>
      </c>
      <c r="I17" s="74">
        <f t="shared" si="4"/>
        <v>1464</v>
      </c>
      <c r="J17" s="74">
        <f t="shared" si="4"/>
        <v>1452</v>
      </c>
      <c r="K17" s="74">
        <f t="shared" ref="K17" si="5">SUM(K10:K16)</f>
        <v>1448</v>
      </c>
      <c r="L17" s="73">
        <f t="shared" ref="L17:M17" si="6">SUM(L10:L16)</f>
        <v>1440</v>
      </c>
      <c r="M17" s="73">
        <f t="shared" si="6"/>
        <v>1435</v>
      </c>
      <c r="N17" s="74">
        <f t="shared" ref="N17" si="7">SUM(N10:N16)</f>
        <v>1421</v>
      </c>
      <c r="O17" s="73">
        <v>1420</v>
      </c>
      <c r="P17" s="73">
        <v>1321</v>
      </c>
      <c r="Q17" s="73">
        <v>1270</v>
      </c>
      <c r="R17" s="73">
        <v>1258</v>
      </c>
      <c r="S17" s="73">
        <v>1246</v>
      </c>
      <c r="T17" s="73">
        <v>1237</v>
      </c>
      <c r="U17" s="73">
        <v>1221</v>
      </c>
      <c r="V17" s="73">
        <v>1212</v>
      </c>
      <c r="W17" s="73">
        <v>1182</v>
      </c>
      <c r="X17" s="73">
        <v>1151</v>
      </c>
      <c r="Y17" s="73">
        <v>1131</v>
      </c>
      <c r="Z17" s="73">
        <f t="shared" si="1"/>
        <v>-20</v>
      </c>
      <c r="AA17" s="75">
        <f t="shared" si="2"/>
        <v>-1.7376194613379692E-2</v>
      </c>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row>
    <row r="18" spans="1:59" s="32" customFormat="1" ht="15.75" x14ac:dyDescent="0.25">
      <c r="A18" s="57"/>
      <c r="B18" s="125" t="s">
        <v>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row>
    <row r="19" spans="1:59" ht="15" x14ac:dyDescent="0.2">
      <c r="B19" s="62" t="s">
        <v>46</v>
      </c>
      <c r="C19" s="53">
        <v>609</v>
      </c>
      <c r="D19" s="53">
        <v>605</v>
      </c>
      <c r="E19" s="53">
        <f>599+1</f>
        <v>600</v>
      </c>
      <c r="F19" s="53">
        <f>592+1</f>
        <v>593</v>
      </c>
      <c r="G19" s="53">
        <v>576</v>
      </c>
      <c r="H19" s="53">
        <v>563</v>
      </c>
      <c r="I19" s="69">
        <v>546</v>
      </c>
      <c r="J19" s="69">
        <v>539</v>
      </c>
      <c r="K19" s="69">
        <v>536</v>
      </c>
      <c r="L19" s="53">
        <v>533</v>
      </c>
      <c r="M19" s="53">
        <v>527</v>
      </c>
      <c r="N19" s="53">
        <v>525</v>
      </c>
      <c r="O19" s="53">
        <v>522</v>
      </c>
      <c r="P19" s="53">
        <v>509</v>
      </c>
      <c r="Q19" s="53">
        <v>482</v>
      </c>
      <c r="R19" s="53">
        <v>474</v>
      </c>
      <c r="S19" s="53">
        <v>469</v>
      </c>
      <c r="T19" s="53">
        <v>464</v>
      </c>
      <c r="U19" s="53">
        <v>463</v>
      </c>
      <c r="V19" s="53">
        <v>461</v>
      </c>
      <c r="W19" s="53">
        <v>450</v>
      </c>
      <c r="X19" s="53">
        <v>441</v>
      </c>
      <c r="Y19" s="53">
        <v>428</v>
      </c>
      <c r="Z19" s="53">
        <f t="shared" ref="Z19:Z26" si="8">Y19-X19</f>
        <v>-13</v>
      </c>
      <c r="AA19" s="55">
        <f t="shared" ref="AA19:AA26" si="9">Y19/X19-1</f>
        <v>-2.947845804988658E-2</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row>
    <row r="20" spans="1:59" ht="15" x14ac:dyDescent="0.2">
      <c r="B20" s="63" t="s">
        <v>47</v>
      </c>
      <c r="C20" s="70">
        <v>47</v>
      </c>
      <c r="D20" s="70">
        <v>47</v>
      </c>
      <c r="E20" s="70">
        <v>46</v>
      </c>
      <c r="F20" s="70">
        <v>45</v>
      </c>
      <c r="G20" s="70">
        <v>42</v>
      </c>
      <c r="H20" s="70">
        <v>42</v>
      </c>
      <c r="I20" s="71">
        <v>40</v>
      </c>
      <c r="J20" s="71">
        <v>40</v>
      </c>
      <c r="K20" s="71">
        <v>38</v>
      </c>
      <c r="L20" s="70">
        <v>38</v>
      </c>
      <c r="M20" s="70">
        <v>38</v>
      </c>
      <c r="N20" s="71">
        <v>38</v>
      </c>
      <c r="O20" s="70">
        <v>38</v>
      </c>
      <c r="P20" s="70">
        <v>38</v>
      </c>
      <c r="Q20" s="70">
        <v>35</v>
      </c>
      <c r="R20" s="70">
        <v>34</v>
      </c>
      <c r="S20" s="70">
        <v>34</v>
      </c>
      <c r="T20" s="70">
        <v>33</v>
      </c>
      <c r="U20" s="70">
        <v>33</v>
      </c>
      <c r="V20" s="70">
        <v>32</v>
      </c>
      <c r="W20" s="70">
        <v>31</v>
      </c>
      <c r="X20" s="70">
        <v>28</v>
      </c>
      <c r="Y20" s="70">
        <v>28</v>
      </c>
      <c r="Z20" s="70">
        <f t="shared" si="8"/>
        <v>0</v>
      </c>
      <c r="AA20" s="72" t="s">
        <v>155</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row>
    <row r="21" spans="1:59" ht="15" x14ac:dyDescent="0.2">
      <c r="B21" s="62" t="s">
        <v>48</v>
      </c>
      <c r="C21" s="53">
        <v>580</v>
      </c>
      <c r="D21" s="53">
        <v>570</v>
      </c>
      <c r="E21" s="53">
        <v>556</v>
      </c>
      <c r="F21" s="53">
        <v>551</v>
      </c>
      <c r="G21" s="53">
        <v>530</v>
      </c>
      <c r="H21" s="53">
        <v>527</v>
      </c>
      <c r="I21" s="69">
        <v>521</v>
      </c>
      <c r="J21" s="69">
        <v>518</v>
      </c>
      <c r="K21" s="69">
        <v>512</v>
      </c>
      <c r="L21" s="53">
        <v>507</v>
      </c>
      <c r="M21" s="53">
        <v>498</v>
      </c>
      <c r="N21" s="53">
        <v>498</v>
      </c>
      <c r="O21" s="53">
        <v>495</v>
      </c>
      <c r="P21" s="53">
        <v>472</v>
      </c>
      <c r="Q21" s="53">
        <v>466</v>
      </c>
      <c r="R21" s="53">
        <v>467</v>
      </c>
      <c r="S21" s="53">
        <v>466</v>
      </c>
      <c r="T21" s="53">
        <v>460</v>
      </c>
      <c r="U21" s="53">
        <v>453</v>
      </c>
      <c r="V21" s="53">
        <v>446</v>
      </c>
      <c r="W21" s="53">
        <v>438</v>
      </c>
      <c r="X21" s="53">
        <v>427</v>
      </c>
      <c r="Y21" s="53">
        <v>419</v>
      </c>
      <c r="Z21" s="53">
        <f t="shared" si="8"/>
        <v>-8</v>
      </c>
      <c r="AA21" s="55">
        <f t="shared" si="9"/>
        <v>-1.87353629976581E-2</v>
      </c>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row>
    <row r="22" spans="1:59" ht="15" x14ac:dyDescent="0.2">
      <c r="B22" s="63" t="s">
        <v>49</v>
      </c>
      <c r="C22" s="70">
        <v>10</v>
      </c>
      <c r="D22" s="70">
        <v>10</v>
      </c>
      <c r="E22" s="70">
        <v>10</v>
      </c>
      <c r="F22" s="70">
        <v>10</v>
      </c>
      <c r="G22" s="70">
        <v>8</v>
      </c>
      <c r="H22" s="70">
        <v>8</v>
      </c>
      <c r="I22" s="71">
        <v>8</v>
      </c>
      <c r="J22" s="71">
        <v>7</v>
      </c>
      <c r="K22" s="71">
        <v>7</v>
      </c>
      <c r="L22" s="70">
        <v>7</v>
      </c>
      <c r="M22" s="70">
        <v>7</v>
      </c>
      <c r="N22" s="71">
        <v>7</v>
      </c>
      <c r="O22" s="70">
        <v>7</v>
      </c>
      <c r="P22" s="70">
        <v>7</v>
      </c>
      <c r="Q22" s="70">
        <v>6</v>
      </c>
      <c r="R22" s="70">
        <v>5</v>
      </c>
      <c r="S22" s="70">
        <v>5</v>
      </c>
      <c r="T22" s="70">
        <v>5</v>
      </c>
      <c r="U22" s="70">
        <v>5</v>
      </c>
      <c r="V22" s="70">
        <v>4</v>
      </c>
      <c r="W22" s="70">
        <v>4</v>
      </c>
      <c r="X22" s="70">
        <v>4</v>
      </c>
      <c r="Y22" s="70">
        <v>4</v>
      </c>
      <c r="Z22" s="70">
        <f t="shared" si="8"/>
        <v>0</v>
      </c>
      <c r="AA22" s="72" t="s">
        <v>155</v>
      </c>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row>
    <row r="23" spans="1:59" ht="15" x14ac:dyDescent="0.2">
      <c r="B23" s="62" t="s">
        <v>50</v>
      </c>
      <c r="C23" s="53">
        <v>106</v>
      </c>
      <c r="D23" s="53">
        <v>104</v>
      </c>
      <c r="E23" s="53">
        <v>104</v>
      </c>
      <c r="F23" s="53">
        <v>106</v>
      </c>
      <c r="G23" s="53">
        <v>103</v>
      </c>
      <c r="H23" s="53">
        <v>96</v>
      </c>
      <c r="I23" s="69">
        <v>94</v>
      </c>
      <c r="J23" s="69">
        <v>91</v>
      </c>
      <c r="K23" s="69">
        <v>91</v>
      </c>
      <c r="L23" s="53">
        <v>90</v>
      </c>
      <c r="M23" s="53">
        <v>91</v>
      </c>
      <c r="N23" s="53">
        <v>88</v>
      </c>
      <c r="O23" s="53">
        <v>88</v>
      </c>
      <c r="P23" s="53">
        <v>83</v>
      </c>
      <c r="Q23" s="53">
        <v>80</v>
      </c>
      <c r="R23" s="53">
        <v>80</v>
      </c>
      <c r="S23" s="53">
        <v>78</v>
      </c>
      <c r="T23" s="53">
        <v>77</v>
      </c>
      <c r="U23" s="53">
        <v>76</v>
      </c>
      <c r="V23" s="53">
        <v>76</v>
      </c>
      <c r="W23" s="53">
        <v>75</v>
      </c>
      <c r="X23" s="53">
        <v>72</v>
      </c>
      <c r="Y23" s="53">
        <v>71</v>
      </c>
      <c r="Z23" s="53">
        <f t="shared" si="8"/>
        <v>-1</v>
      </c>
      <c r="AA23" s="55">
        <f t="shared" si="9"/>
        <v>-1.388888888888884E-2</v>
      </c>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row>
    <row r="24" spans="1:59" ht="15" x14ac:dyDescent="0.2">
      <c r="B24" s="63" t="s">
        <v>51</v>
      </c>
      <c r="C24" s="70">
        <v>366</v>
      </c>
      <c r="D24" s="70">
        <v>355</v>
      </c>
      <c r="E24" s="70">
        <v>351</v>
      </c>
      <c r="F24" s="70">
        <v>347</v>
      </c>
      <c r="G24" s="70">
        <v>331</v>
      </c>
      <c r="H24" s="70">
        <v>330</v>
      </c>
      <c r="I24" s="71">
        <v>326</v>
      </c>
      <c r="J24" s="71">
        <v>322</v>
      </c>
      <c r="K24" s="71">
        <v>321</v>
      </c>
      <c r="L24" s="70">
        <v>320</v>
      </c>
      <c r="M24" s="70">
        <v>316</v>
      </c>
      <c r="N24" s="71">
        <v>315</v>
      </c>
      <c r="O24" s="70">
        <v>309</v>
      </c>
      <c r="P24" s="70">
        <v>304</v>
      </c>
      <c r="Q24" s="70">
        <v>287</v>
      </c>
      <c r="R24" s="70">
        <v>285</v>
      </c>
      <c r="S24" s="70">
        <v>283</v>
      </c>
      <c r="T24" s="70">
        <v>282</v>
      </c>
      <c r="U24" s="70">
        <v>281</v>
      </c>
      <c r="V24" s="70">
        <v>275</v>
      </c>
      <c r="W24" s="70">
        <v>271</v>
      </c>
      <c r="X24" s="70">
        <v>268</v>
      </c>
      <c r="Y24" s="70">
        <v>257</v>
      </c>
      <c r="Z24" s="70">
        <f t="shared" si="8"/>
        <v>-11</v>
      </c>
      <c r="AA24" s="72">
        <f t="shared" si="9"/>
        <v>-4.1044776119402937E-2</v>
      </c>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row>
    <row r="25" spans="1:59" ht="15" x14ac:dyDescent="0.2">
      <c r="B25" s="62" t="s">
        <v>52</v>
      </c>
      <c r="C25" s="53">
        <v>591</v>
      </c>
      <c r="D25" s="53">
        <v>587</v>
      </c>
      <c r="E25" s="53">
        <v>586</v>
      </c>
      <c r="F25" s="53">
        <v>579</v>
      </c>
      <c r="G25" s="53">
        <v>563</v>
      </c>
      <c r="H25" s="53">
        <v>544</v>
      </c>
      <c r="I25" s="69">
        <v>539</v>
      </c>
      <c r="J25" s="69">
        <v>537</v>
      </c>
      <c r="K25" s="69">
        <v>528</v>
      </c>
      <c r="L25" s="53">
        <v>517</v>
      </c>
      <c r="M25" s="53">
        <v>508</v>
      </c>
      <c r="N25" s="53">
        <v>506</v>
      </c>
      <c r="O25" s="53">
        <v>501</v>
      </c>
      <c r="P25" s="53">
        <v>473</v>
      </c>
      <c r="Q25" s="53">
        <v>453</v>
      </c>
      <c r="R25" s="53">
        <v>447</v>
      </c>
      <c r="S25" s="53">
        <v>440</v>
      </c>
      <c r="T25" s="53">
        <v>436</v>
      </c>
      <c r="U25" s="53">
        <v>431</v>
      </c>
      <c r="V25" s="53">
        <v>423</v>
      </c>
      <c r="W25" s="53">
        <v>404</v>
      </c>
      <c r="X25" s="53">
        <v>398</v>
      </c>
      <c r="Y25" s="53">
        <v>370</v>
      </c>
      <c r="Z25" s="53">
        <f t="shared" si="8"/>
        <v>-28</v>
      </c>
      <c r="AA25" s="55">
        <f t="shared" si="9"/>
        <v>-7.0351758793969821E-2</v>
      </c>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row>
    <row r="26" spans="1:59" s="67" customFormat="1" ht="15.75" x14ac:dyDescent="0.25">
      <c r="B26" s="64" t="s">
        <v>146</v>
      </c>
      <c r="C26" s="73">
        <f t="shared" ref="C26:G26" si="10">SUM(C19:C25)</f>
        <v>2309</v>
      </c>
      <c r="D26" s="73">
        <f t="shared" si="10"/>
        <v>2278</v>
      </c>
      <c r="E26" s="73">
        <f t="shared" si="10"/>
        <v>2253</v>
      </c>
      <c r="F26" s="73">
        <f t="shared" si="10"/>
        <v>2231</v>
      </c>
      <c r="G26" s="73">
        <f t="shared" si="10"/>
        <v>2153</v>
      </c>
      <c r="H26" s="73">
        <f>SUM(H19:H25)</f>
        <v>2110</v>
      </c>
      <c r="I26" s="74">
        <f t="shared" ref="I26:J26" si="11">SUM(I19:I25)</f>
        <v>2074</v>
      </c>
      <c r="J26" s="74">
        <f t="shared" si="11"/>
        <v>2054</v>
      </c>
      <c r="K26" s="74">
        <f t="shared" ref="K26" si="12">SUM(K19:K25)</f>
        <v>2033</v>
      </c>
      <c r="L26" s="73">
        <f t="shared" ref="L26:M26" si="13">SUM(L19:L25)</f>
        <v>2012</v>
      </c>
      <c r="M26" s="73">
        <f t="shared" si="13"/>
        <v>1985</v>
      </c>
      <c r="N26" s="74">
        <f t="shared" ref="N26" si="14">SUM(N19:N25)</f>
        <v>1977</v>
      </c>
      <c r="O26" s="73">
        <v>1960</v>
      </c>
      <c r="P26" s="73">
        <v>1886</v>
      </c>
      <c r="Q26" s="73">
        <v>1809</v>
      </c>
      <c r="R26" s="73">
        <v>1792</v>
      </c>
      <c r="S26" s="73">
        <v>1775</v>
      </c>
      <c r="T26" s="73">
        <v>1757</v>
      </c>
      <c r="U26" s="73">
        <v>1742</v>
      </c>
      <c r="V26" s="73">
        <v>1717</v>
      </c>
      <c r="W26" s="73">
        <v>1673</v>
      </c>
      <c r="X26" s="73">
        <v>1638</v>
      </c>
      <c r="Y26" s="73">
        <v>1577</v>
      </c>
      <c r="Z26" s="73">
        <f t="shared" si="8"/>
        <v>-61</v>
      </c>
      <c r="AA26" s="75">
        <f t="shared" si="9"/>
        <v>-3.7240537240537219E-2</v>
      </c>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row>
    <row r="27" spans="1:59" s="32" customFormat="1" ht="15.75" x14ac:dyDescent="0.25">
      <c r="A27" s="57"/>
      <c r="B27" s="125" t="s">
        <v>6</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row>
    <row r="28" spans="1:59" ht="15" x14ac:dyDescent="0.2">
      <c r="B28" s="62" t="s">
        <v>53</v>
      </c>
      <c r="C28" s="53">
        <v>52</v>
      </c>
      <c r="D28" s="53">
        <v>51</v>
      </c>
      <c r="E28" s="53">
        <v>50</v>
      </c>
      <c r="F28" s="53">
        <v>49</v>
      </c>
      <c r="G28" s="53">
        <v>48</v>
      </c>
      <c r="H28" s="53">
        <v>44</v>
      </c>
      <c r="I28" s="69">
        <v>45</v>
      </c>
      <c r="J28" s="69">
        <v>44</v>
      </c>
      <c r="K28" s="69">
        <v>44</v>
      </c>
      <c r="L28" s="53">
        <v>44</v>
      </c>
      <c r="M28" s="53">
        <v>38</v>
      </c>
      <c r="N28" s="53">
        <v>37</v>
      </c>
      <c r="O28" s="53">
        <v>36</v>
      </c>
      <c r="P28" s="53">
        <v>31</v>
      </c>
      <c r="Q28" s="53">
        <v>28</v>
      </c>
      <c r="R28" s="53">
        <v>28</v>
      </c>
      <c r="S28" s="53">
        <v>28</v>
      </c>
      <c r="T28" s="53">
        <v>28</v>
      </c>
      <c r="U28" s="53">
        <v>27</v>
      </c>
      <c r="V28" s="53">
        <v>26</v>
      </c>
      <c r="W28" s="53">
        <v>22</v>
      </c>
      <c r="X28" s="53">
        <v>20</v>
      </c>
      <c r="Y28" s="53">
        <v>19</v>
      </c>
      <c r="Z28" s="53">
        <f t="shared" ref="Z28:Z32" si="15">Y28-X28</f>
        <v>-1</v>
      </c>
      <c r="AA28" s="55">
        <f t="shared" ref="AA28:AA32" si="16">Y28/X28-1</f>
        <v>-5.0000000000000044E-2</v>
      </c>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row>
    <row r="29" spans="1:59" ht="15" x14ac:dyDescent="0.2">
      <c r="B29" s="63" t="s">
        <v>54</v>
      </c>
      <c r="C29" s="70">
        <v>7</v>
      </c>
      <c r="D29" s="70">
        <v>7</v>
      </c>
      <c r="E29" s="70">
        <v>7</v>
      </c>
      <c r="F29" s="70">
        <v>7</v>
      </c>
      <c r="G29" s="70">
        <v>7</v>
      </c>
      <c r="H29" s="70">
        <v>8</v>
      </c>
      <c r="I29" s="71">
        <v>8</v>
      </c>
      <c r="J29" s="71">
        <v>8</v>
      </c>
      <c r="K29" s="71">
        <v>8</v>
      </c>
      <c r="L29" s="70">
        <v>8</v>
      </c>
      <c r="M29" s="70">
        <v>8</v>
      </c>
      <c r="N29" s="71">
        <v>8</v>
      </c>
      <c r="O29" s="70">
        <v>8</v>
      </c>
      <c r="P29" s="70">
        <v>8</v>
      </c>
      <c r="Q29" s="70">
        <v>7</v>
      </c>
      <c r="R29" s="70">
        <v>7</v>
      </c>
      <c r="S29" s="70">
        <v>7</v>
      </c>
      <c r="T29" s="70">
        <v>7</v>
      </c>
      <c r="U29" s="70">
        <v>7</v>
      </c>
      <c r="V29" s="70">
        <v>7</v>
      </c>
      <c r="W29" s="70">
        <v>7</v>
      </c>
      <c r="X29" s="70">
        <v>7</v>
      </c>
      <c r="Y29" s="70">
        <v>7</v>
      </c>
      <c r="Z29" s="70">
        <f t="shared" si="15"/>
        <v>0</v>
      </c>
      <c r="AA29" s="72" t="s">
        <v>155</v>
      </c>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row>
    <row r="30" spans="1:59" ht="15" x14ac:dyDescent="0.2">
      <c r="B30" s="62" t="s">
        <v>55</v>
      </c>
      <c r="C30" s="53">
        <v>57</v>
      </c>
      <c r="D30" s="53">
        <v>57</v>
      </c>
      <c r="E30" s="53">
        <v>56</v>
      </c>
      <c r="F30" s="53">
        <v>52</v>
      </c>
      <c r="G30" s="53">
        <v>54</v>
      </c>
      <c r="H30" s="53">
        <v>50</v>
      </c>
      <c r="I30" s="69">
        <v>48</v>
      </c>
      <c r="J30" s="69">
        <v>46</v>
      </c>
      <c r="K30" s="69">
        <v>46</v>
      </c>
      <c r="L30" s="53">
        <v>45</v>
      </c>
      <c r="M30" s="53">
        <v>45</v>
      </c>
      <c r="N30" s="53">
        <v>45</v>
      </c>
      <c r="O30" s="53">
        <v>44</v>
      </c>
      <c r="P30" s="53">
        <v>37</v>
      </c>
      <c r="Q30" s="53">
        <v>35</v>
      </c>
      <c r="R30" s="53">
        <v>35</v>
      </c>
      <c r="S30" s="53">
        <v>35</v>
      </c>
      <c r="T30" s="53">
        <v>33</v>
      </c>
      <c r="U30" s="53">
        <v>33</v>
      </c>
      <c r="V30" s="53">
        <v>33</v>
      </c>
      <c r="W30" s="53">
        <v>33</v>
      </c>
      <c r="X30" s="53">
        <v>32</v>
      </c>
      <c r="Y30" s="53">
        <v>32</v>
      </c>
      <c r="Z30" s="53">
        <f t="shared" si="15"/>
        <v>0</v>
      </c>
      <c r="AA30" s="55" t="s">
        <v>155</v>
      </c>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row>
    <row r="31" spans="1:59" ht="15" x14ac:dyDescent="0.2">
      <c r="B31" s="63" t="s">
        <v>56</v>
      </c>
      <c r="C31" s="70">
        <v>33</v>
      </c>
      <c r="D31" s="70">
        <v>32</v>
      </c>
      <c r="E31" s="70">
        <v>32</v>
      </c>
      <c r="F31" s="70">
        <v>32</v>
      </c>
      <c r="G31" s="70">
        <v>31</v>
      </c>
      <c r="H31" s="70">
        <v>27</v>
      </c>
      <c r="I31" s="71">
        <v>28</v>
      </c>
      <c r="J31" s="71">
        <v>28</v>
      </c>
      <c r="K31" s="71">
        <v>29</v>
      </c>
      <c r="L31" s="70">
        <v>25</v>
      </c>
      <c r="M31" s="70">
        <v>26</v>
      </c>
      <c r="N31" s="71">
        <v>25</v>
      </c>
      <c r="O31" s="70">
        <v>27</v>
      </c>
      <c r="P31" s="70">
        <v>25</v>
      </c>
      <c r="Q31" s="70">
        <v>24</v>
      </c>
      <c r="R31" s="70">
        <v>22</v>
      </c>
      <c r="S31" s="70">
        <v>22</v>
      </c>
      <c r="T31" s="70">
        <v>20</v>
      </c>
      <c r="U31" s="70">
        <v>18</v>
      </c>
      <c r="V31" s="70">
        <v>18</v>
      </c>
      <c r="W31" s="70">
        <v>18</v>
      </c>
      <c r="X31" s="70">
        <v>16</v>
      </c>
      <c r="Y31" s="70">
        <v>16</v>
      </c>
      <c r="Z31" s="70">
        <f t="shared" si="15"/>
        <v>0</v>
      </c>
      <c r="AA31" s="72" t="s">
        <v>155</v>
      </c>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row>
    <row r="32" spans="1:59" s="67" customFormat="1" ht="15.75" x14ac:dyDescent="0.25">
      <c r="B32" s="65" t="s">
        <v>146</v>
      </c>
      <c r="C32" s="77">
        <f t="shared" ref="C32:G32" si="17">SUM(C28:C31)</f>
        <v>149</v>
      </c>
      <c r="D32" s="77">
        <f t="shared" si="17"/>
        <v>147</v>
      </c>
      <c r="E32" s="77">
        <f t="shared" si="17"/>
        <v>145</v>
      </c>
      <c r="F32" s="77">
        <f t="shared" si="17"/>
        <v>140</v>
      </c>
      <c r="G32" s="77">
        <f t="shared" si="17"/>
        <v>140</v>
      </c>
      <c r="H32" s="77">
        <f t="shared" ref="H32:I32" si="18">SUM(H28:H31)</f>
        <v>129</v>
      </c>
      <c r="I32" s="78">
        <f t="shared" si="18"/>
        <v>129</v>
      </c>
      <c r="J32" s="78">
        <f t="shared" ref="J32:K32" si="19">SUM(J28:J31)</f>
        <v>126</v>
      </c>
      <c r="K32" s="78">
        <f t="shared" si="19"/>
        <v>127</v>
      </c>
      <c r="L32" s="77">
        <f t="shared" ref="L32:M32" si="20">SUM(L28:L31)</f>
        <v>122</v>
      </c>
      <c r="M32" s="77">
        <f t="shared" si="20"/>
        <v>117</v>
      </c>
      <c r="N32" s="77">
        <f t="shared" ref="N32" si="21">SUM(N28:N31)</f>
        <v>115</v>
      </c>
      <c r="O32" s="77">
        <v>115</v>
      </c>
      <c r="P32" s="77">
        <v>101</v>
      </c>
      <c r="Q32" s="77">
        <v>94</v>
      </c>
      <c r="R32" s="77">
        <v>92</v>
      </c>
      <c r="S32" s="77">
        <v>92</v>
      </c>
      <c r="T32" s="77">
        <v>88</v>
      </c>
      <c r="U32" s="77">
        <v>85</v>
      </c>
      <c r="V32" s="77">
        <v>84</v>
      </c>
      <c r="W32" s="77">
        <v>80</v>
      </c>
      <c r="X32" s="77">
        <v>75</v>
      </c>
      <c r="Y32" s="77">
        <v>74</v>
      </c>
      <c r="Z32" s="77">
        <f t="shared" si="15"/>
        <v>-1</v>
      </c>
      <c r="AA32" s="79">
        <f t="shared" si="16"/>
        <v>-1.3333333333333308E-2</v>
      </c>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row>
    <row r="33" spans="1:59" s="32" customFormat="1" ht="15.75" x14ac:dyDescent="0.25">
      <c r="A33" s="57"/>
      <c r="B33" s="125" t="s">
        <v>7</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row>
    <row r="34" spans="1:59" ht="15" x14ac:dyDescent="0.2">
      <c r="B34" s="62" t="s">
        <v>57</v>
      </c>
      <c r="C34" s="53">
        <v>12</v>
      </c>
      <c r="D34" s="53">
        <v>10</v>
      </c>
      <c r="E34" s="53">
        <v>10</v>
      </c>
      <c r="F34" s="53">
        <v>10</v>
      </c>
      <c r="G34" s="53">
        <v>10</v>
      </c>
      <c r="H34" s="53">
        <v>9</v>
      </c>
      <c r="I34" s="69">
        <v>9</v>
      </c>
      <c r="J34" s="69">
        <v>9</v>
      </c>
      <c r="K34" s="69">
        <v>8</v>
      </c>
      <c r="L34" s="53">
        <v>8</v>
      </c>
      <c r="M34" s="53">
        <v>8</v>
      </c>
      <c r="N34" s="53">
        <v>8</v>
      </c>
      <c r="O34" s="53">
        <v>8</v>
      </c>
      <c r="P34" s="53">
        <v>8</v>
      </c>
      <c r="Q34" s="53">
        <v>8</v>
      </c>
      <c r="R34" s="53">
        <v>8</v>
      </c>
      <c r="S34" s="53">
        <v>8</v>
      </c>
      <c r="T34" s="53">
        <v>8</v>
      </c>
      <c r="U34" s="53">
        <v>8</v>
      </c>
      <c r="V34" s="53">
        <v>8</v>
      </c>
      <c r="W34" s="53">
        <v>7</v>
      </c>
      <c r="X34" s="53">
        <v>7</v>
      </c>
      <c r="Y34" s="53">
        <v>7</v>
      </c>
      <c r="Z34" s="53">
        <f t="shared" ref="Z34:Z43" si="22">Y34-X34</f>
        <v>0</v>
      </c>
      <c r="AA34" s="55" t="s">
        <v>155</v>
      </c>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row>
    <row r="35" spans="1:59" ht="15" x14ac:dyDescent="0.2">
      <c r="B35" s="63" t="s">
        <v>88</v>
      </c>
      <c r="C35" s="70">
        <v>163</v>
      </c>
      <c r="D35" s="70">
        <v>161</v>
      </c>
      <c r="E35" s="70">
        <v>158</v>
      </c>
      <c r="F35" s="70">
        <v>157</v>
      </c>
      <c r="G35" s="70">
        <v>153</v>
      </c>
      <c r="H35" s="70">
        <v>150</v>
      </c>
      <c r="I35" s="71">
        <v>148</v>
      </c>
      <c r="J35" s="71">
        <v>149</v>
      </c>
      <c r="K35" s="71">
        <v>147</v>
      </c>
      <c r="L35" s="70">
        <v>148</v>
      </c>
      <c r="M35" s="70">
        <v>148</v>
      </c>
      <c r="N35" s="71">
        <v>151</v>
      </c>
      <c r="O35" s="70">
        <v>150</v>
      </c>
      <c r="P35" s="70">
        <v>138</v>
      </c>
      <c r="Q35" s="70">
        <v>126</v>
      </c>
      <c r="R35" s="70">
        <v>122</v>
      </c>
      <c r="S35" s="70">
        <v>118</v>
      </c>
      <c r="T35" s="70">
        <v>110</v>
      </c>
      <c r="U35" s="70">
        <v>107</v>
      </c>
      <c r="V35" s="70">
        <v>103</v>
      </c>
      <c r="W35" s="70">
        <v>103</v>
      </c>
      <c r="X35" s="70">
        <v>97</v>
      </c>
      <c r="Y35" s="70">
        <v>96</v>
      </c>
      <c r="Z35" s="70">
        <f t="shared" si="22"/>
        <v>-1</v>
      </c>
      <c r="AA35" s="72">
        <f t="shared" ref="AA35:AA43" si="23">Y35/X35-1</f>
        <v>-1.0309278350515427E-2</v>
      </c>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row>
    <row r="36" spans="1:59" ht="15" x14ac:dyDescent="0.2">
      <c r="B36" s="62" t="s">
        <v>58</v>
      </c>
      <c r="C36" s="53">
        <v>25</v>
      </c>
      <c r="D36" s="53">
        <v>23</v>
      </c>
      <c r="E36" s="53">
        <v>21</v>
      </c>
      <c r="F36" s="53">
        <v>21</v>
      </c>
      <c r="G36" s="53">
        <v>21</v>
      </c>
      <c r="H36" s="53">
        <v>19</v>
      </c>
      <c r="I36" s="69">
        <v>19</v>
      </c>
      <c r="J36" s="69">
        <v>19</v>
      </c>
      <c r="K36" s="69">
        <v>19</v>
      </c>
      <c r="L36" s="53">
        <v>18</v>
      </c>
      <c r="M36" s="53">
        <v>18</v>
      </c>
      <c r="N36" s="53">
        <v>17</v>
      </c>
      <c r="O36" s="53">
        <v>17</v>
      </c>
      <c r="P36" s="53">
        <v>16</v>
      </c>
      <c r="Q36" s="53">
        <v>16</v>
      </c>
      <c r="R36" s="53">
        <v>16</v>
      </c>
      <c r="S36" s="53">
        <v>15</v>
      </c>
      <c r="T36" s="53">
        <v>14</v>
      </c>
      <c r="U36" s="53">
        <v>14</v>
      </c>
      <c r="V36" s="53">
        <v>14</v>
      </c>
      <c r="W36" s="53">
        <v>14</v>
      </c>
      <c r="X36" s="53">
        <v>13</v>
      </c>
      <c r="Y36" s="53">
        <v>13</v>
      </c>
      <c r="Z36" s="53">
        <f t="shared" si="22"/>
        <v>0</v>
      </c>
      <c r="AA36" s="55" t="s">
        <v>155</v>
      </c>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row>
    <row r="37" spans="1:59" ht="15" x14ac:dyDescent="0.2">
      <c r="B37" s="63" t="s">
        <v>59</v>
      </c>
      <c r="C37" s="70">
        <v>57</v>
      </c>
      <c r="D37" s="70">
        <v>57</v>
      </c>
      <c r="E37" s="70">
        <v>56</v>
      </c>
      <c r="F37" s="70">
        <v>56</v>
      </c>
      <c r="G37" s="70">
        <v>56</v>
      </c>
      <c r="H37" s="70">
        <v>56</v>
      </c>
      <c r="I37" s="71">
        <v>52</v>
      </c>
      <c r="J37" s="71">
        <v>51</v>
      </c>
      <c r="K37" s="71">
        <v>50</v>
      </c>
      <c r="L37" s="70">
        <v>50</v>
      </c>
      <c r="M37" s="70">
        <v>50</v>
      </c>
      <c r="N37" s="71">
        <v>50</v>
      </c>
      <c r="O37" s="70">
        <v>49</v>
      </c>
      <c r="P37" s="70">
        <v>45</v>
      </c>
      <c r="Q37" s="70">
        <v>44</v>
      </c>
      <c r="R37" s="70">
        <v>44</v>
      </c>
      <c r="S37" s="70">
        <v>44</v>
      </c>
      <c r="T37" s="70">
        <v>43</v>
      </c>
      <c r="U37" s="70">
        <v>42</v>
      </c>
      <c r="V37" s="70">
        <v>41</v>
      </c>
      <c r="W37" s="70">
        <v>37</v>
      </c>
      <c r="X37" s="70">
        <v>36</v>
      </c>
      <c r="Y37" s="70">
        <v>35</v>
      </c>
      <c r="Z37" s="70">
        <f t="shared" si="22"/>
        <v>-1</v>
      </c>
      <c r="AA37" s="72">
        <f t="shared" si="23"/>
        <v>-2.777777777777779E-2</v>
      </c>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row>
    <row r="38" spans="1:59" ht="15" x14ac:dyDescent="0.2">
      <c r="B38" s="62" t="s">
        <v>60</v>
      </c>
      <c r="C38" s="53">
        <v>70</v>
      </c>
      <c r="D38" s="53">
        <v>70</v>
      </c>
      <c r="E38" s="53">
        <v>69</v>
      </c>
      <c r="F38" s="53">
        <v>67</v>
      </c>
      <c r="G38" s="53">
        <v>66</v>
      </c>
      <c r="H38" s="53">
        <v>64</v>
      </c>
      <c r="I38" s="69">
        <v>64</v>
      </c>
      <c r="J38" s="69">
        <v>63</v>
      </c>
      <c r="K38" s="69">
        <v>62</v>
      </c>
      <c r="L38" s="53">
        <v>63</v>
      </c>
      <c r="M38" s="53">
        <v>63</v>
      </c>
      <c r="N38" s="53">
        <v>63</v>
      </c>
      <c r="O38" s="53">
        <v>63</v>
      </c>
      <c r="P38" s="53">
        <v>60</v>
      </c>
      <c r="Q38" s="53">
        <v>55</v>
      </c>
      <c r="R38" s="53">
        <v>54</v>
      </c>
      <c r="S38" s="53">
        <v>51</v>
      </c>
      <c r="T38" s="53">
        <v>49</v>
      </c>
      <c r="U38" s="53">
        <v>47</v>
      </c>
      <c r="V38" s="53">
        <v>47</v>
      </c>
      <c r="W38" s="53">
        <v>47</v>
      </c>
      <c r="X38" s="53">
        <v>47</v>
      </c>
      <c r="Y38" s="53">
        <v>46</v>
      </c>
      <c r="Z38" s="53">
        <f t="shared" si="22"/>
        <v>-1</v>
      </c>
      <c r="AA38" s="55">
        <f t="shared" si="23"/>
        <v>-2.1276595744680882E-2</v>
      </c>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row>
    <row r="39" spans="1:59" ht="15" x14ac:dyDescent="0.2">
      <c r="B39" s="63" t="s">
        <v>61</v>
      </c>
      <c r="C39" s="70">
        <v>20</v>
      </c>
      <c r="D39" s="70">
        <v>20</v>
      </c>
      <c r="E39" s="70">
        <v>20</v>
      </c>
      <c r="F39" s="70">
        <v>17</v>
      </c>
      <c r="G39" s="70">
        <v>16</v>
      </c>
      <c r="H39" s="70">
        <v>16</v>
      </c>
      <c r="I39" s="71">
        <v>14</v>
      </c>
      <c r="J39" s="71">
        <v>14</v>
      </c>
      <c r="K39" s="71">
        <v>14</v>
      </c>
      <c r="L39" s="70">
        <v>14</v>
      </c>
      <c r="M39" s="70">
        <v>14</v>
      </c>
      <c r="N39" s="71">
        <v>14</v>
      </c>
      <c r="O39" s="70">
        <v>14</v>
      </c>
      <c r="P39" s="70">
        <v>12</v>
      </c>
      <c r="Q39" s="70">
        <v>12</v>
      </c>
      <c r="R39" s="70">
        <v>11</v>
      </c>
      <c r="S39" s="70">
        <v>11</v>
      </c>
      <c r="T39" s="70">
        <v>10</v>
      </c>
      <c r="U39" s="70">
        <v>10</v>
      </c>
      <c r="V39" s="70">
        <v>10</v>
      </c>
      <c r="W39" s="70">
        <v>10</v>
      </c>
      <c r="X39" s="70">
        <v>10</v>
      </c>
      <c r="Y39" s="70">
        <v>9</v>
      </c>
      <c r="Z39" s="70">
        <f t="shared" si="22"/>
        <v>-1</v>
      </c>
      <c r="AA39" s="72">
        <f t="shared" si="23"/>
        <v>-9.9999999999999978E-2</v>
      </c>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row>
    <row r="40" spans="1:59" ht="15" x14ac:dyDescent="0.2">
      <c r="B40" s="62" t="s">
        <v>62</v>
      </c>
      <c r="C40" s="53">
        <v>249</v>
      </c>
      <c r="D40" s="53">
        <v>246</v>
      </c>
      <c r="E40" s="53">
        <v>233</v>
      </c>
      <c r="F40" s="53">
        <v>232</v>
      </c>
      <c r="G40" s="53">
        <v>229</v>
      </c>
      <c r="H40" s="53">
        <v>221</v>
      </c>
      <c r="I40" s="69">
        <v>213</v>
      </c>
      <c r="J40" s="69">
        <v>207</v>
      </c>
      <c r="K40" s="69">
        <v>202</v>
      </c>
      <c r="L40" s="53">
        <v>204</v>
      </c>
      <c r="M40" s="53">
        <v>204</v>
      </c>
      <c r="N40" s="53">
        <v>205</v>
      </c>
      <c r="O40" s="53">
        <v>204</v>
      </c>
      <c r="P40" s="53">
        <v>181</v>
      </c>
      <c r="Q40" s="53">
        <v>179</v>
      </c>
      <c r="R40" s="53">
        <v>174</v>
      </c>
      <c r="S40" s="53">
        <v>174</v>
      </c>
      <c r="T40" s="53">
        <v>173</v>
      </c>
      <c r="U40" s="53">
        <v>169</v>
      </c>
      <c r="V40" s="53">
        <v>164</v>
      </c>
      <c r="W40" s="53">
        <v>161</v>
      </c>
      <c r="X40" s="53">
        <v>155</v>
      </c>
      <c r="Y40" s="53">
        <v>152</v>
      </c>
      <c r="Z40" s="53">
        <f t="shared" si="22"/>
        <v>-3</v>
      </c>
      <c r="AA40" s="55">
        <f t="shared" si="23"/>
        <v>-1.9354838709677469E-2</v>
      </c>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row>
    <row r="41" spans="1:59" ht="15" x14ac:dyDescent="0.2">
      <c r="B41" s="63" t="s">
        <v>63</v>
      </c>
      <c r="C41" s="70">
        <v>191</v>
      </c>
      <c r="D41" s="70">
        <f>108+82</f>
        <v>190</v>
      </c>
      <c r="E41" s="70">
        <f>106+78</f>
        <v>184</v>
      </c>
      <c r="F41" s="70">
        <f>105+76</f>
        <v>181</v>
      </c>
      <c r="G41" s="70">
        <v>175</v>
      </c>
      <c r="H41" s="70">
        <v>173</v>
      </c>
      <c r="I41" s="71">
        <v>170</v>
      </c>
      <c r="J41" s="71">
        <v>171</v>
      </c>
      <c r="K41" s="71">
        <v>168</v>
      </c>
      <c r="L41" s="70">
        <v>165</v>
      </c>
      <c r="M41" s="70">
        <f>90+3+70</f>
        <v>163</v>
      </c>
      <c r="N41" s="71">
        <f>67+87+3</f>
        <v>157</v>
      </c>
      <c r="O41" s="70">
        <v>157</v>
      </c>
      <c r="P41" s="70">
        <v>153</v>
      </c>
      <c r="Q41" s="70">
        <v>147</v>
      </c>
      <c r="R41" s="70">
        <v>145</v>
      </c>
      <c r="S41" s="70">
        <v>144</v>
      </c>
      <c r="T41" s="70">
        <v>144</v>
      </c>
      <c r="U41" s="70">
        <v>139</v>
      </c>
      <c r="V41" s="70">
        <v>137</v>
      </c>
      <c r="W41" s="70">
        <v>134</v>
      </c>
      <c r="X41" s="70">
        <v>132</v>
      </c>
      <c r="Y41" s="70">
        <v>130</v>
      </c>
      <c r="Z41" s="70">
        <f t="shared" si="22"/>
        <v>-2</v>
      </c>
      <c r="AA41" s="72">
        <f t="shared" si="23"/>
        <v>-1.5151515151515138E-2</v>
      </c>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row>
    <row r="42" spans="1:59" ht="15" x14ac:dyDescent="0.2">
      <c r="B42" s="62" t="s">
        <v>64</v>
      </c>
      <c r="C42" s="53">
        <v>452</v>
      </c>
      <c r="D42" s="53">
        <v>446</v>
      </c>
      <c r="E42" s="53">
        <v>445</v>
      </c>
      <c r="F42" s="53">
        <v>436</v>
      </c>
      <c r="G42" s="53">
        <v>418</v>
      </c>
      <c r="H42" s="53">
        <v>402</v>
      </c>
      <c r="I42" s="69">
        <v>399</v>
      </c>
      <c r="J42" s="69">
        <v>391</v>
      </c>
      <c r="K42" s="69">
        <v>384</v>
      </c>
      <c r="L42" s="53">
        <v>380</v>
      </c>
      <c r="M42" s="53">
        <v>374</v>
      </c>
      <c r="N42" s="53">
        <v>371</v>
      </c>
      <c r="O42" s="53">
        <v>370</v>
      </c>
      <c r="P42" s="53">
        <v>361</v>
      </c>
      <c r="Q42" s="53">
        <v>363</v>
      </c>
      <c r="R42" s="53">
        <v>353</v>
      </c>
      <c r="S42" s="53">
        <v>342</v>
      </c>
      <c r="T42" s="53">
        <v>340</v>
      </c>
      <c r="U42" s="53">
        <v>339</v>
      </c>
      <c r="V42" s="53">
        <v>332</v>
      </c>
      <c r="W42" s="53">
        <v>325</v>
      </c>
      <c r="X42" s="53">
        <v>321</v>
      </c>
      <c r="Y42" s="53">
        <v>317</v>
      </c>
      <c r="Z42" s="53">
        <f t="shared" si="22"/>
        <v>-4</v>
      </c>
      <c r="AA42" s="55">
        <f t="shared" si="23"/>
        <v>-1.2461059190031154E-2</v>
      </c>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row>
    <row r="43" spans="1:59" s="67" customFormat="1" ht="15.75" x14ac:dyDescent="0.25">
      <c r="B43" s="64" t="s">
        <v>146</v>
      </c>
      <c r="C43" s="73">
        <f t="shared" ref="C43:G43" si="24">SUM(C34:C42)</f>
        <v>1239</v>
      </c>
      <c r="D43" s="73">
        <f t="shared" si="24"/>
        <v>1223</v>
      </c>
      <c r="E43" s="73">
        <f t="shared" si="24"/>
        <v>1196</v>
      </c>
      <c r="F43" s="73">
        <f t="shared" si="24"/>
        <v>1177</v>
      </c>
      <c r="G43" s="73">
        <f t="shared" si="24"/>
        <v>1144</v>
      </c>
      <c r="H43" s="73">
        <f>SUM(H34:H42)</f>
        <v>1110</v>
      </c>
      <c r="I43" s="74">
        <f t="shared" ref="I43:J43" si="25">SUM(I34:I42)</f>
        <v>1088</v>
      </c>
      <c r="J43" s="74">
        <f t="shared" si="25"/>
        <v>1074</v>
      </c>
      <c r="K43" s="74">
        <f t="shared" ref="K43" si="26">SUM(K34:K42)</f>
        <v>1054</v>
      </c>
      <c r="L43" s="73">
        <f t="shared" ref="L43:M43" si="27">SUM(L34:L42)</f>
        <v>1050</v>
      </c>
      <c r="M43" s="73">
        <f t="shared" si="27"/>
        <v>1042</v>
      </c>
      <c r="N43" s="74">
        <f t="shared" ref="N43" si="28">SUM(N34:N42)</f>
        <v>1036</v>
      </c>
      <c r="O43" s="73">
        <v>1032</v>
      </c>
      <c r="P43" s="73">
        <v>974</v>
      </c>
      <c r="Q43" s="73">
        <v>950</v>
      </c>
      <c r="R43" s="73">
        <v>927</v>
      </c>
      <c r="S43" s="73">
        <v>907</v>
      </c>
      <c r="T43" s="73">
        <v>891</v>
      </c>
      <c r="U43" s="73">
        <v>875</v>
      </c>
      <c r="V43" s="73">
        <v>856</v>
      </c>
      <c r="W43" s="73">
        <v>838</v>
      </c>
      <c r="X43" s="73">
        <v>818</v>
      </c>
      <c r="Y43" s="73">
        <v>805</v>
      </c>
      <c r="Z43" s="73">
        <f t="shared" si="22"/>
        <v>-13</v>
      </c>
      <c r="AA43" s="75">
        <f t="shared" si="23"/>
        <v>-1.58924205378973E-2</v>
      </c>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row>
    <row r="44" spans="1:59" s="32" customFormat="1" ht="15.75" x14ac:dyDescent="0.25">
      <c r="A44" s="57"/>
      <c r="B44" s="125" t="s">
        <v>8</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row>
    <row r="45" spans="1:59" ht="15" x14ac:dyDescent="0.2">
      <c r="B45" s="62" t="s">
        <v>65</v>
      </c>
      <c r="C45" s="53">
        <v>24</v>
      </c>
      <c r="D45" s="53">
        <v>22</v>
      </c>
      <c r="E45" s="53">
        <v>22</v>
      </c>
      <c r="F45" s="53">
        <v>21</v>
      </c>
      <c r="G45" s="53">
        <v>21</v>
      </c>
      <c r="H45" s="53">
        <v>19</v>
      </c>
      <c r="I45" s="69">
        <v>16</v>
      </c>
      <c r="J45" s="69">
        <v>15</v>
      </c>
      <c r="K45" s="69">
        <v>15</v>
      </c>
      <c r="L45" s="53">
        <v>15</v>
      </c>
      <c r="M45" s="53">
        <v>15</v>
      </c>
      <c r="N45" s="53">
        <v>15</v>
      </c>
      <c r="O45" s="53">
        <v>15</v>
      </c>
      <c r="P45" s="53">
        <v>15</v>
      </c>
      <c r="Q45" s="53">
        <v>14</v>
      </c>
      <c r="R45" s="53">
        <v>14</v>
      </c>
      <c r="S45" s="53">
        <v>13</v>
      </c>
      <c r="T45" s="53">
        <v>13</v>
      </c>
      <c r="U45" s="53">
        <v>13</v>
      </c>
      <c r="V45" s="53">
        <v>13</v>
      </c>
      <c r="W45" s="53">
        <v>13</v>
      </c>
      <c r="X45" s="53">
        <v>12</v>
      </c>
      <c r="Y45" s="53">
        <v>12</v>
      </c>
      <c r="Z45" s="53">
        <f t="shared" ref="Z45:Z50" si="29">Y45-X45</f>
        <v>0</v>
      </c>
      <c r="AA45" s="55" t="s">
        <v>155</v>
      </c>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row>
    <row r="46" spans="1:59" ht="15" x14ac:dyDescent="0.2">
      <c r="B46" s="63" t="s">
        <v>66</v>
      </c>
      <c r="C46" s="70">
        <v>52</v>
      </c>
      <c r="D46" s="70">
        <v>52</v>
      </c>
      <c r="E46" s="70">
        <v>52</v>
      </c>
      <c r="F46" s="70">
        <v>52</v>
      </c>
      <c r="G46" s="70">
        <v>44</v>
      </c>
      <c r="H46" s="70">
        <v>45</v>
      </c>
      <c r="I46" s="71">
        <v>42</v>
      </c>
      <c r="J46" s="71">
        <v>42</v>
      </c>
      <c r="K46" s="71">
        <v>42</v>
      </c>
      <c r="L46" s="70">
        <v>42</v>
      </c>
      <c r="M46" s="70">
        <v>41</v>
      </c>
      <c r="N46" s="71">
        <v>41</v>
      </c>
      <c r="O46" s="70">
        <v>41</v>
      </c>
      <c r="P46" s="70">
        <v>40</v>
      </c>
      <c r="Q46" s="70">
        <v>31</v>
      </c>
      <c r="R46" s="70">
        <v>31</v>
      </c>
      <c r="S46" s="70">
        <v>29</v>
      </c>
      <c r="T46" s="70">
        <v>27</v>
      </c>
      <c r="U46" s="70">
        <v>27</v>
      </c>
      <c r="V46" s="70">
        <v>27</v>
      </c>
      <c r="W46" s="70">
        <v>26</v>
      </c>
      <c r="X46" s="70">
        <v>26</v>
      </c>
      <c r="Y46" s="70">
        <v>26</v>
      </c>
      <c r="Z46" s="70">
        <f t="shared" si="29"/>
        <v>0</v>
      </c>
      <c r="AA46" s="72" t="s">
        <v>155</v>
      </c>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row>
    <row r="47" spans="1:59" ht="15" x14ac:dyDescent="0.2">
      <c r="B47" s="62" t="s">
        <v>67</v>
      </c>
      <c r="C47" s="53">
        <v>91</v>
      </c>
      <c r="D47" s="53">
        <v>91</v>
      </c>
      <c r="E47" s="53">
        <v>88</v>
      </c>
      <c r="F47" s="53">
        <v>89</v>
      </c>
      <c r="G47" s="53">
        <v>88</v>
      </c>
      <c r="H47" s="53">
        <v>87</v>
      </c>
      <c r="I47" s="69">
        <v>85</v>
      </c>
      <c r="J47" s="69">
        <v>83</v>
      </c>
      <c r="K47" s="69">
        <v>82</v>
      </c>
      <c r="L47" s="53">
        <v>81</v>
      </c>
      <c r="M47" s="53">
        <v>79</v>
      </c>
      <c r="N47" s="53">
        <v>81</v>
      </c>
      <c r="O47" s="53">
        <v>80</v>
      </c>
      <c r="P47" s="53">
        <v>78</v>
      </c>
      <c r="Q47" s="53">
        <v>72</v>
      </c>
      <c r="R47" s="53">
        <v>72</v>
      </c>
      <c r="S47" s="53">
        <v>71</v>
      </c>
      <c r="T47" s="53">
        <v>70</v>
      </c>
      <c r="U47" s="53">
        <v>65</v>
      </c>
      <c r="V47" s="53">
        <v>64</v>
      </c>
      <c r="W47" s="53">
        <v>60</v>
      </c>
      <c r="X47" s="53">
        <v>59</v>
      </c>
      <c r="Y47" s="53">
        <v>57</v>
      </c>
      <c r="Z47" s="53">
        <f t="shared" si="29"/>
        <v>-2</v>
      </c>
      <c r="AA47" s="55">
        <f t="shared" ref="AA47:AA50" si="30">Y47/X47-1</f>
        <v>-3.3898305084745783E-2</v>
      </c>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row>
    <row r="48" spans="1:59" ht="15" x14ac:dyDescent="0.2">
      <c r="B48" s="63" t="s">
        <v>68</v>
      </c>
      <c r="C48" s="70">
        <v>20</v>
      </c>
      <c r="D48" s="70">
        <v>18</v>
      </c>
      <c r="E48" s="70">
        <v>19</v>
      </c>
      <c r="F48" s="70">
        <v>19</v>
      </c>
      <c r="G48" s="70">
        <v>20</v>
      </c>
      <c r="H48" s="70">
        <v>18</v>
      </c>
      <c r="I48" s="71">
        <v>18</v>
      </c>
      <c r="J48" s="71">
        <v>18</v>
      </c>
      <c r="K48" s="71">
        <v>18</v>
      </c>
      <c r="L48" s="70">
        <v>18</v>
      </c>
      <c r="M48" s="70">
        <v>16</v>
      </c>
      <c r="N48" s="71">
        <v>15</v>
      </c>
      <c r="O48" s="70">
        <v>15</v>
      </c>
      <c r="P48" s="70">
        <v>15</v>
      </c>
      <c r="Q48" s="70">
        <v>12</v>
      </c>
      <c r="R48" s="70">
        <v>12</v>
      </c>
      <c r="S48" s="70">
        <v>12</v>
      </c>
      <c r="T48" s="70">
        <v>12</v>
      </c>
      <c r="U48" s="70">
        <v>12</v>
      </c>
      <c r="V48" s="70">
        <v>11</v>
      </c>
      <c r="W48" s="70">
        <v>11</v>
      </c>
      <c r="X48" s="70">
        <v>10</v>
      </c>
      <c r="Y48" s="70">
        <v>9</v>
      </c>
      <c r="Z48" s="70">
        <f t="shared" si="29"/>
        <v>-1</v>
      </c>
      <c r="AA48" s="72">
        <f t="shared" si="30"/>
        <v>-9.9999999999999978E-2</v>
      </c>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row>
    <row r="49" spans="2:59" ht="15" x14ac:dyDescent="0.2">
      <c r="B49" s="62" t="s">
        <v>69</v>
      </c>
      <c r="C49" s="53">
        <v>50</v>
      </c>
      <c r="D49" s="53">
        <v>50</v>
      </c>
      <c r="E49" s="53">
        <v>49</v>
      </c>
      <c r="F49" s="53">
        <v>46</v>
      </c>
      <c r="G49" s="53">
        <v>43</v>
      </c>
      <c r="H49" s="53">
        <v>43</v>
      </c>
      <c r="I49" s="69">
        <v>42</v>
      </c>
      <c r="J49" s="69">
        <v>42</v>
      </c>
      <c r="K49" s="69">
        <v>43</v>
      </c>
      <c r="L49" s="53">
        <v>42</v>
      </c>
      <c r="M49" s="53">
        <v>42</v>
      </c>
      <c r="N49" s="53">
        <v>43</v>
      </c>
      <c r="O49" s="53">
        <v>43</v>
      </c>
      <c r="P49" s="53">
        <v>43</v>
      </c>
      <c r="Q49" s="53">
        <v>40</v>
      </c>
      <c r="R49" s="53">
        <v>39</v>
      </c>
      <c r="S49" s="53">
        <v>38</v>
      </c>
      <c r="T49" s="53">
        <v>38</v>
      </c>
      <c r="U49" s="53">
        <v>38</v>
      </c>
      <c r="V49" s="53">
        <v>38</v>
      </c>
      <c r="W49" s="53">
        <v>38</v>
      </c>
      <c r="X49" s="53">
        <v>38</v>
      </c>
      <c r="Y49" s="53">
        <v>35</v>
      </c>
      <c r="Z49" s="53">
        <f t="shared" si="29"/>
        <v>-3</v>
      </c>
      <c r="AA49" s="55">
        <f t="shared" si="30"/>
        <v>-7.8947368421052655E-2</v>
      </c>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row>
    <row r="50" spans="2:59" s="67" customFormat="1" ht="15.75" x14ac:dyDescent="0.25">
      <c r="B50" s="64" t="s">
        <v>146</v>
      </c>
      <c r="C50" s="73">
        <f t="shared" ref="C50:G50" si="31">SUM(C45:C49)</f>
        <v>237</v>
      </c>
      <c r="D50" s="73">
        <f t="shared" si="31"/>
        <v>233</v>
      </c>
      <c r="E50" s="73">
        <f t="shared" si="31"/>
        <v>230</v>
      </c>
      <c r="F50" s="73">
        <f t="shared" si="31"/>
        <v>227</v>
      </c>
      <c r="G50" s="73">
        <f t="shared" si="31"/>
        <v>216</v>
      </c>
      <c r="H50" s="73">
        <f t="shared" ref="H50:J50" si="32">SUM(H45:H49)</f>
        <v>212</v>
      </c>
      <c r="I50" s="74">
        <f t="shared" si="32"/>
        <v>203</v>
      </c>
      <c r="J50" s="74">
        <f t="shared" si="32"/>
        <v>200</v>
      </c>
      <c r="K50" s="74">
        <f t="shared" ref="K50" si="33">SUM(K45:K49)</f>
        <v>200</v>
      </c>
      <c r="L50" s="73">
        <f t="shared" ref="L50:M50" si="34">SUM(L45:L49)</f>
        <v>198</v>
      </c>
      <c r="M50" s="73">
        <f t="shared" si="34"/>
        <v>193</v>
      </c>
      <c r="N50" s="74">
        <f t="shared" ref="N50" si="35">SUM(N45:N49)</f>
        <v>195</v>
      </c>
      <c r="O50" s="73">
        <v>194</v>
      </c>
      <c r="P50" s="73">
        <v>191</v>
      </c>
      <c r="Q50" s="73">
        <v>169</v>
      </c>
      <c r="R50" s="73">
        <v>168</v>
      </c>
      <c r="S50" s="73">
        <v>163</v>
      </c>
      <c r="T50" s="73">
        <v>160</v>
      </c>
      <c r="U50" s="73">
        <v>155</v>
      </c>
      <c r="V50" s="73">
        <v>153</v>
      </c>
      <c r="W50" s="73">
        <v>148</v>
      </c>
      <c r="X50" s="73">
        <v>145</v>
      </c>
      <c r="Y50" s="73">
        <v>139</v>
      </c>
      <c r="Z50" s="73">
        <f t="shared" si="29"/>
        <v>-6</v>
      </c>
      <c r="AA50" s="75">
        <f t="shared" si="30"/>
        <v>-4.1379310344827558E-2</v>
      </c>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row>
    <row r="51" spans="2:59" ht="15.75" x14ac:dyDescent="0.25">
      <c r="B51" s="126" t="s">
        <v>9</v>
      </c>
      <c r="C51" s="80"/>
      <c r="D51" s="80"/>
      <c r="E51" s="80"/>
      <c r="F51" s="80"/>
      <c r="G51" s="80"/>
      <c r="H51" s="80"/>
      <c r="I51" s="80"/>
      <c r="J51" s="80"/>
      <c r="K51" s="80"/>
      <c r="L51" s="80"/>
      <c r="M51" s="80"/>
      <c r="N51" s="80"/>
      <c r="O51" s="80"/>
      <c r="P51" s="80"/>
      <c r="Q51" s="80"/>
      <c r="R51" s="80"/>
      <c r="S51" s="80"/>
      <c r="T51" s="80"/>
      <c r="U51" s="80"/>
      <c r="V51" s="80"/>
      <c r="W51" s="80"/>
      <c r="X51" s="80"/>
      <c r="Y51" s="80"/>
      <c r="Z51" s="80"/>
      <c r="AA51" s="81"/>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row>
    <row r="52" spans="2:59" ht="15" x14ac:dyDescent="0.2">
      <c r="B52" s="62" t="s">
        <v>70</v>
      </c>
      <c r="C52" s="53">
        <v>397</v>
      </c>
      <c r="D52" s="53">
        <v>396</v>
      </c>
      <c r="E52" s="53">
        <v>393</v>
      </c>
      <c r="F52" s="53">
        <v>384</v>
      </c>
      <c r="G52" s="53">
        <v>372</v>
      </c>
      <c r="H52" s="53">
        <v>371</v>
      </c>
      <c r="I52" s="69">
        <v>357</v>
      </c>
      <c r="J52" s="69">
        <v>353</v>
      </c>
      <c r="K52" s="69">
        <v>355</v>
      </c>
      <c r="L52" s="53">
        <v>355</v>
      </c>
      <c r="M52" s="53">
        <v>355</v>
      </c>
      <c r="N52" s="53">
        <v>355</v>
      </c>
      <c r="O52" s="53">
        <v>354</v>
      </c>
      <c r="P52" s="53">
        <v>352</v>
      </c>
      <c r="Q52" s="53">
        <v>345</v>
      </c>
      <c r="R52" s="53">
        <v>326</v>
      </c>
      <c r="S52" s="53">
        <v>322</v>
      </c>
      <c r="T52" s="53">
        <v>315</v>
      </c>
      <c r="U52" s="53">
        <v>301</v>
      </c>
      <c r="V52" s="53">
        <v>292</v>
      </c>
      <c r="W52" s="53">
        <v>281</v>
      </c>
      <c r="X52" s="53">
        <v>276</v>
      </c>
      <c r="Y52" s="53">
        <v>270</v>
      </c>
      <c r="Z52" s="53">
        <f t="shared" ref="Z52:Z56" si="36">Y52-X52</f>
        <v>-6</v>
      </c>
      <c r="AA52" s="55">
        <f t="shared" ref="AA52:AA56" si="37">Y52/X52-1</f>
        <v>-2.1739130434782594E-2</v>
      </c>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row>
    <row r="53" spans="2:59" ht="15" x14ac:dyDescent="0.2">
      <c r="B53" s="63" t="s">
        <v>81</v>
      </c>
      <c r="C53" s="70">
        <v>1</v>
      </c>
      <c r="D53" s="70">
        <v>1</v>
      </c>
      <c r="E53" s="70">
        <v>1</v>
      </c>
      <c r="F53" s="70">
        <v>1</v>
      </c>
      <c r="G53" s="70">
        <v>0</v>
      </c>
      <c r="H53" s="70">
        <v>0</v>
      </c>
      <c r="I53" s="71">
        <v>0</v>
      </c>
      <c r="J53" s="71">
        <v>0</v>
      </c>
      <c r="K53" s="71">
        <v>0</v>
      </c>
      <c r="L53" s="70">
        <v>0</v>
      </c>
      <c r="M53" s="70">
        <v>0</v>
      </c>
      <c r="N53" s="71">
        <v>0</v>
      </c>
      <c r="O53" s="70">
        <v>0</v>
      </c>
      <c r="P53" s="70">
        <v>0</v>
      </c>
      <c r="Q53" s="70">
        <v>0</v>
      </c>
      <c r="R53" s="70">
        <v>0</v>
      </c>
      <c r="S53" s="70">
        <v>0</v>
      </c>
      <c r="T53" s="70">
        <v>0</v>
      </c>
      <c r="U53" s="70">
        <v>0</v>
      </c>
      <c r="V53" s="70">
        <v>0</v>
      </c>
      <c r="W53" s="70">
        <v>0</v>
      </c>
      <c r="X53" s="70">
        <v>0</v>
      </c>
      <c r="Y53" s="70">
        <v>0</v>
      </c>
      <c r="Z53" s="70">
        <f t="shared" si="36"/>
        <v>0</v>
      </c>
      <c r="AA53" s="72" t="s">
        <v>154</v>
      </c>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row>
    <row r="54" spans="2:59" ht="15" x14ac:dyDescent="0.2">
      <c r="B54" s="62" t="s">
        <v>71</v>
      </c>
      <c r="C54" s="53">
        <v>696</v>
      </c>
      <c r="D54" s="53">
        <v>695</v>
      </c>
      <c r="E54" s="53">
        <f>689+1</f>
        <v>690</v>
      </c>
      <c r="F54" s="53">
        <f>684+1</f>
        <v>685</v>
      </c>
      <c r="G54" s="53">
        <v>671</v>
      </c>
      <c r="H54" s="53">
        <v>661</v>
      </c>
      <c r="I54" s="69">
        <v>638</v>
      </c>
      <c r="J54" s="69">
        <v>635</v>
      </c>
      <c r="K54" s="69">
        <v>628</v>
      </c>
      <c r="L54" s="53">
        <v>625</v>
      </c>
      <c r="M54" s="53">
        <v>615</v>
      </c>
      <c r="N54" s="53">
        <v>615</v>
      </c>
      <c r="O54" s="53">
        <v>616</v>
      </c>
      <c r="P54" s="53">
        <v>588</v>
      </c>
      <c r="Q54" s="53">
        <v>573</v>
      </c>
      <c r="R54" s="53">
        <v>564</v>
      </c>
      <c r="S54" s="53">
        <v>561</v>
      </c>
      <c r="T54" s="53">
        <v>551</v>
      </c>
      <c r="U54" s="53">
        <v>545</v>
      </c>
      <c r="V54" s="53">
        <v>525</v>
      </c>
      <c r="W54" s="53">
        <v>500</v>
      </c>
      <c r="X54" s="53">
        <v>492</v>
      </c>
      <c r="Y54" s="53">
        <v>480</v>
      </c>
      <c r="Z54" s="53">
        <f t="shared" si="36"/>
        <v>-12</v>
      </c>
      <c r="AA54" s="55">
        <f t="shared" si="37"/>
        <v>-2.4390243902439046E-2</v>
      </c>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row>
    <row r="55" spans="2:59" ht="15" x14ac:dyDescent="0.2">
      <c r="B55" s="63" t="s">
        <v>72</v>
      </c>
      <c r="C55" s="70">
        <v>267</v>
      </c>
      <c r="D55" s="70">
        <v>264</v>
      </c>
      <c r="E55" s="70">
        <v>263</v>
      </c>
      <c r="F55" s="70">
        <v>264</v>
      </c>
      <c r="G55" s="70">
        <v>248</v>
      </c>
      <c r="H55" s="70">
        <v>243</v>
      </c>
      <c r="I55" s="71">
        <v>239</v>
      </c>
      <c r="J55" s="71">
        <v>236</v>
      </c>
      <c r="K55" s="71">
        <v>233</v>
      </c>
      <c r="L55" s="70">
        <v>230</v>
      </c>
      <c r="M55" s="70">
        <v>231</v>
      </c>
      <c r="N55" s="71">
        <v>227</v>
      </c>
      <c r="O55" s="70">
        <v>225</v>
      </c>
      <c r="P55" s="70">
        <v>222</v>
      </c>
      <c r="Q55" s="70">
        <v>216</v>
      </c>
      <c r="R55" s="70">
        <v>213</v>
      </c>
      <c r="S55" s="70">
        <v>213</v>
      </c>
      <c r="T55" s="70">
        <v>210</v>
      </c>
      <c r="U55" s="70">
        <v>205</v>
      </c>
      <c r="V55" s="70">
        <v>194</v>
      </c>
      <c r="W55" s="70">
        <v>189</v>
      </c>
      <c r="X55" s="70">
        <v>183</v>
      </c>
      <c r="Y55" s="70">
        <v>177</v>
      </c>
      <c r="Z55" s="70">
        <f t="shared" si="36"/>
        <v>-6</v>
      </c>
      <c r="AA55" s="72">
        <f t="shared" si="37"/>
        <v>-3.2786885245901676E-2</v>
      </c>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row>
    <row r="56" spans="2:59" s="67" customFormat="1" ht="15.75" x14ac:dyDescent="0.25">
      <c r="B56" s="65" t="s">
        <v>146</v>
      </c>
      <c r="C56" s="77">
        <f t="shared" ref="C56:G56" si="38">SUM(C52:C55)</f>
        <v>1361</v>
      </c>
      <c r="D56" s="77">
        <f t="shared" si="38"/>
        <v>1356</v>
      </c>
      <c r="E56" s="77">
        <f t="shared" si="38"/>
        <v>1347</v>
      </c>
      <c r="F56" s="77">
        <f t="shared" si="38"/>
        <v>1334</v>
      </c>
      <c r="G56" s="77">
        <f t="shared" si="38"/>
        <v>1291</v>
      </c>
      <c r="H56" s="77">
        <f>SUM(H52:H55)</f>
        <v>1275</v>
      </c>
      <c r="I56" s="78">
        <f t="shared" ref="I56" si="39">SUM(I52:I55)</f>
        <v>1234</v>
      </c>
      <c r="J56" s="78">
        <f t="shared" ref="J56:K56" si="40">SUM(J52:J55)</f>
        <v>1224</v>
      </c>
      <c r="K56" s="78">
        <f t="shared" si="40"/>
        <v>1216</v>
      </c>
      <c r="L56" s="77">
        <f t="shared" ref="L56:M56" si="41">SUM(L52:L55)</f>
        <v>1210</v>
      </c>
      <c r="M56" s="77">
        <f t="shared" si="41"/>
        <v>1201</v>
      </c>
      <c r="N56" s="77">
        <f t="shared" ref="N56" si="42">SUM(N52:N55)</f>
        <v>1197</v>
      </c>
      <c r="O56" s="77">
        <v>1195</v>
      </c>
      <c r="P56" s="77">
        <v>1162</v>
      </c>
      <c r="Q56" s="77">
        <v>1134</v>
      </c>
      <c r="R56" s="77">
        <v>1103</v>
      </c>
      <c r="S56" s="77">
        <v>1096</v>
      </c>
      <c r="T56" s="77">
        <v>1076</v>
      </c>
      <c r="U56" s="77">
        <v>1051</v>
      </c>
      <c r="V56" s="77">
        <v>1011</v>
      </c>
      <c r="W56" s="77">
        <v>970</v>
      </c>
      <c r="X56" s="77">
        <v>951</v>
      </c>
      <c r="Y56" s="77">
        <v>927</v>
      </c>
      <c r="Z56" s="77">
        <f t="shared" si="36"/>
        <v>-24</v>
      </c>
      <c r="AA56" s="79">
        <f t="shared" si="37"/>
        <v>-2.5236593059936863E-2</v>
      </c>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row>
    <row r="57" spans="2:59" ht="15.75" x14ac:dyDescent="0.25">
      <c r="B57" s="126" t="s">
        <v>10</v>
      </c>
      <c r="C57" s="80"/>
      <c r="D57" s="80"/>
      <c r="E57" s="80"/>
      <c r="F57" s="80"/>
      <c r="G57" s="80"/>
      <c r="H57" s="80"/>
      <c r="I57" s="80"/>
      <c r="J57" s="80"/>
      <c r="K57" s="80"/>
      <c r="L57" s="80"/>
      <c r="M57" s="80"/>
      <c r="N57" s="80"/>
      <c r="O57" s="80"/>
      <c r="P57" s="80"/>
      <c r="Q57" s="80"/>
      <c r="R57" s="80"/>
      <c r="S57" s="80"/>
      <c r="T57" s="80"/>
      <c r="U57" s="80"/>
      <c r="V57" s="80"/>
      <c r="W57" s="80"/>
      <c r="X57" s="80"/>
      <c r="Y57" s="80"/>
      <c r="Z57" s="80"/>
      <c r="AA57" s="81"/>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row>
    <row r="58" spans="2:59" ht="15" x14ac:dyDescent="0.2">
      <c r="B58" s="62" t="s">
        <v>73</v>
      </c>
      <c r="C58" s="53">
        <v>1017</v>
      </c>
      <c r="D58" s="53">
        <v>1019</v>
      </c>
      <c r="E58" s="53">
        <v>1014</v>
      </c>
      <c r="F58" s="53">
        <v>1007</v>
      </c>
      <c r="G58" s="53">
        <v>1002</v>
      </c>
      <c r="H58" s="53">
        <v>992</v>
      </c>
      <c r="I58" s="69">
        <v>969</v>
      </c>
      <c r="J58" s="69">
        <v>959</v>
      </c>
      <c r="K58" s="69">
        <v>956</v>
      </c>
      <c r="L58" s="53">
        <v>948</v>
      </c>
      <c r="M58" s="53">
        <v>946</v>
      </c>
      <c r="N58" s="53">
        <v>943</v>
      </c>
      <c r="O58" s="53">
        <v>942</v>
      </c>
      <c r="P58" s="53">
        <v>896</v>
      </c>
      <c r="Q58" s="53">
        <v>881</v>
      </c>
      <c r="R58" s="53">
        <v>868</v>
      </c>
      <c r="S58" s="53">
        <v>861</v>
      </c>
      <c r="T58" s="53">
        <v>847</v>
      </c>
      <c r="U58" s="53">
        <v>841</v>
      </c>
      <c r="V58" s="53">
        <v>818</v>
      </c>
      <c r="W58" s="53">
        <v>799</v>
      </c>
      <c r="X58" s="53">
        <v>792</v>
      </c>
      <c r="Y58" s="53">
        <v>781</v>
      </c>
      <c r="Z58" s="53">
        <f t="shared" ref="Z58:Z60" si="43">Y58-X58</f>
        <v>-11</v>
      </c>
      <c r="AA58" s="55">
        <f t="shared" ref="AA58:AA60" si="44">Y58/X58-1</f>
        <v>-1.388888888888884E-2</v>
      </c>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row>
    <row r="59" spans="2:59" ht="15" x14ac:dyDescent="0.2">
      <c r="B59" s="63" t="s">
        <v>74</v>
      </c>
      <c r="C59" s="70">
        <v>574</v>
      </c>
      <c r="D59" s="70">
        <v>566</v>
      </c>
      <c r="E59" s="70">
        <f>559+3+1</f>
        <v>563</v>
      </c>
      <c r="F59" s="70">
        <f>553+3+1</f>
        <v>557</v>
      </c>
      <c r="G59" s="70">
        <v>536</v>
      </c>
      <c r="H59" s="70">
        <v>526</v>
      </c>
      <c r="I59" s="71">
        <v>518</v>
      </c>
      <c r="J59" s="71">
        <v>514</v>
      </c>
      <c r="K59" s="71">
        <v>509</v>
      </c>
      <c r="L59" s="70">
        <v>510</v>
      </c>
      <c r="M59" s="70">
        <f>497+3</f>
        <v>500</v>
      </c>
      <c r="N59" s="71">
        <v>498</v>
      </c>
      <c r="O59" s="70">
        <v>497</v>
      </c>
      <c r="P59" s="70">
        <v>461</v>
      </c>
      <c r="Q59" s="70">
        <v>446</v>
      </c>
      <c r="R59" s="70">
        <v>436</v>
      </c>
      <c r="S59" s="70">
        <v>431</v>
      </c>
      <c r="T59" s="70">
        <v>423</v>
      </c>
      <c r="U59" s="70">
        <v>420</v>
      </c>
      <c r="V59" s="70">
        <v>405</v>
      </c>
      <c r="W59" s="70">
        <v>396</v>
      </c>
      <c r="X59" s="70">
        <v>393</v>
      </c>
      <c r="Y59" s="70">
        <v>387</v>
      </c>
      <c r="Z59" s="70">
        <f t="shared" si="43"/>
        <v>-6</v>
      </c>
      <c r="AA59" s="72">
        <f t="shared" si="44"/>
        <v>-1.5267175572519109E-2</v>
      </c>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row>
    <row r="60" spans="2:59" s="67" customFormat="1" ht="15.75" x14ac:dyDescent="0.25">
      <c r="B60" s="65" t="s">
        <v>146</v>
      </c>
      <c r="C60" s="77">
        <f t="shared" ref="C60:G60" si="45">SUM(C58:C59)</f>
        <v>1591</v>
      </c>
      <c r="D60" s="77">
        <f t="shared" si="45"/>
        <v>1585</v>
      </c>
      <c r="E60" s="77">
        <f t="shared" si="45"/>
        <v>1577</v>
      </c>
      <c r="F60" s="77">
        <f t="shared" si="45"/>
        <v>1564</v>
      </c>
      <c r="G60" s="77">
        <f t="shared" si="45"/>
        <v>1538</v>
      </c>
      <c r="H60" s="77">
        <f t="shared" ref="H60:I60" si="46">SUM(H58:H59)</f>
        <v>1518</v>
      </c>
      <c r="I60" s="78">
        <f t="shared" si="46"/>
        <v>1487</v>
      </c>
      <c r="J60" s="78">
        <f t="shared" ref="J60:K60" si="47">SUM(J58:J59)</f>
        <v>1473</v>
      </c>
      <c r="K60" s="78">
        <f t="shared" si="47"/>
        <v>1465</v>
      </c>
      <c r="L60" s="77">
        <f t="shared" ref="L60:M60" si="48">SUM(L58:L59)</f>
        <v>1458</v>
      </c>
      <c r="M60" s="77">
        <f t="shared" si="48"/>
        <v>1446</v>
      </c>
      <c r="N60" s="77">
        <f t="shared" ref="N60" si="49">SUM(N58:N59)</f>
        <v>1441</v>
      </c>
      <c r="O60" s="77">
        <v>1439</v>
      </c>
      <c r="P60" s="77">
        <v>1357</v>
      </c>
      <c r="Q60" s="77">
        <v>1327</v>
      </c>
      <c r="R60" s="77">
        <v>1304</v>
      </c>
      <c r="S60" s="77">
        <v>1292</v>
      </c>
      <c r="T60" s="77">
        <v>1270</v>
      </c>
      <c r="U60" s="77">
        <v>1261</v>
      </c>
      <c r="V60" s="77">
        <v>1223</v>
      </c>
      <c r="W60" s="77">
        <v>1195</v>
      </c>
      <c r="X60" s="77">
        <v>1185</v>
      </c>
      <c r="Y60" s="77">
        <v>1168</v>
      </c>
      <c r="Z60" s="77">
        <f t="shared" si="43"/>
        <v>-17</v>
      </c>
      <c r="AA60" s="79">
        <f t="shared" si="44"/>
        <v>-1.4345991561181437E-2</v>
      </c>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row>
    <row r="61" spans="2:59" ht="15.75" x14ac:dyDescent="0.25">
      <c r="B61" s="126" t="s">
        <v>11</v>
      </c>
      <c r="C61" s="80"/>
      <c r="D61" s="80"/>
      <c r="E61" s="80"/>
      <c r="F61" s="80"/>
      <c r="G61" s="80"/>
      <c r="H61" s="80"/>
      <c r="I61" s="80"/>
      <c r="J61" s="80"/>
      <c r="K61" s="80"/>
      <c r="L61" s="80"/>
      <c r="M61" s="80"/>
      <c r="N61" s="80"/>
      <c r="O61" s="80"/>
      <c r="P61" s="80"/>
      <c r="Q61" s="80"/>
      <c r="R61" s="80"/>
      <c r="S61" s="80"/>
      <c r="T61" s="80"/>
      <c r="U61" s="80"/>
      <c r="V61" s="80"/>
      <c r="W61" s="80"/>
      <c r="X61" s="80"/>
      <c r="Y61" s="80"/>
      <c r="Z61" s="80"/>
      <c r="AA61" s="81"/>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row>
    <row r="62" spans="2:59" ht="15" x14ac:dyDescent="0.2">
      <c r="B62" s="62" t="s">
        <v>75</v>
      </c>
      <c r="C62" s="53">
        <v>22</v>
      </c>
      <c r="D62" s="53">
        <v>21</v>
      </c>
      <c r="E62" s="53">
        <v>21</v>
      </c>
      <c r="F62" s="53">
        <v>20</v>
      </c>
      <c r="G62" s="53">
        <v>16</v>
      </c>
      <c r="H62" s="53">
        <v>16</v>
      </c>
      <c r="I62" s="69">
        <v>16</v>
      </c>
      <c r="J62" s="69">
        <v>16</v>
      </c>
      <c r="K62" s="69">
        <v>16</v>
      </c>
      <c r="L62" s="53">
        <v>16</v>
      </c>
      <c r="M62" s="53">
        <v>14</v>
      </c>
      <c r="N62" s="53">
        <v>15</v>
      </c>
      <c r="O62" s="53">
        <v>15</v>
      </c>
      <c r="P62" s="53">
        <v>15</v>
      </c>
      <c r="Q62" s="53">
        <v>13</v>
      </c>
      <c r="R62" s="53">
        <v>13</v>
      </c>
      <c r="S62" s="53">
        <v>13</v>
      </c>
      <c r="T62" s="53">
        <v>13</v>
      </c>
      <c r="U62" s="53">
        <v>13</v>
      </c>
      <c r="V62" s="53">
        <v>12</v>
      </c>
      <c r="W62" s="53">
        <v>12</v>
      </c>
      <c r="X62" s="53">
        <v>11</v>
      </c>
      <c r="Y62" s="53">
        <v>11</v>
      </c>
      <c r="Z62" s="53">
        <f t="shared" ref="Z62:Z69" si="50">Y62-X62</f>
        <v>0</v>
      </c>
      <c r="AA62" s="55" t="s">
        <v>155</v>
      </c>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row>
    <row r="63" spans="2:59" ht="15" x14ac:dyDescent="0.2">
      <c r="B63" s="63" t="s">
        <v>76</v>
      </c>
      <c r="C63" s="70">
        <v>14</v>
      </c>
      <c r="D63" s="70">
        <v>14</v>
      </c>
      <c r="E63" s="70">
        <v>14</v>
      </c>
      <c r="F63" s="70">
        <v>14</v>
      </c>
      <c r="G63" s="70">
        <v>13</v>
      </c>
      <c r="H63" s="70">
        <v>13</v>
      </c>
      <c r="I63" s="71">
        <v>15</v>
      </c>
      <c r="J63" s="71">
        <v>14</v>
      </c>
      <c r="K63" s="71">
        <v>14</v>
      </c>
      <c r="L63" s="70">
        <v>14</v>
      </c>
      <c r="M63" s="70">
        <v>13</v>
      </c>
      <c r="N63" s="71">
        <v>13</v>
      </c>
      <c r="O63" s="70">
        <v>13</v>
      </c>
      <c r="P63" s="70">
        <v>11</v>
      </c>
      <c r="Q63" s="70">
        <v>10</v>
      </c>
      <c r="R63" s="70">
        <v>10</v>
      </c>
      <c r="S63" s="70">
        <v>10</v>
      </c>
      <c r="T63" s="70">
        <v>10</v>
      </c>
      <c r="U63" s="70">
        <v>9</v>
      </c>
      <c r="V63" s="70">
        <v>9</v>
      </c>
      <c r="W63" s="70">
        <v>9</v>
      </c>
      <c r="X63" s="70">
        <v>9</v>
      </c>
      <c r="Y63" s="70">
        <v>8</v>
      </c>
      <c r="Z63" s="70">
        <f t="shared" si="50"/>
        <v>-1</v>
      </c>
      <c r="AA63" s="72">
        <f t="shared" ref="AA63:AA69" si="51">Y63/X63-1</f>
        <v>-0.11111111111111116</v>
      </c>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row>
    <row r="64" spans="2:59" ht="15" x14ac:dyDescent="0.2">
      <c r="B64" s="62" t="s">
        <v>77</v>
      </c>
      <c r="C64" s="53">
        <v>67</v>
      </c>
      <c r="D64" s="53">
        <v>67</v>
      </c>
      <c r="E64" s="53">
        <f>1+66</f>
        <v>67</v>
      </c>
      <c r="F64" s="53">
        <f>65+1</f>
        <v>66</v>
      </c>
      <c r="G64" s="53">
        <v>59</v>
      </c>
      <c r="H64" s="53">
        <v>58</v>
      </c>
      <c r="I64" s="69">
        <v>59</v>
      </c>
      <c r="J64" s="69">
        <v>59</v>
      </c>
      <c r="K64" s="69">
        <v>59</v>
      </c>
      <c r="L64" s="53">
        <v>59</v>
      </c>
      <c r="M64" s="53">
        <v>59</v>
      </c>
      <c r="N64" s="53">
        <v>60</v>
      </c>
      <c r="O64" s="53">
        <v>60</v>
      </c>
      <c r="P64" s="53">
        <v>56</v>
      </c>
      <c r="Q64" s="53">
        <v>56</v>
      </c>
      <c r="R64" s="53">
        <v>56</v>
      </c>
      <c r="S64" s="53">
        <v>55</v>
      </c>
      <c r="T64" s="53">
        <v>54</v>
      </c>
      <c r="U64" s="53">
        <v>54</v>
      </c>
      <c r="V64" s="53">
        <v>54</v>
      </c>
      <c r="W64" s="53">
        <v>53</v>
      </c>
      <c r="X64" s="53">
        <v>52</v>
      </c>
      <c r="Y64" s="53">
        <v>51</v>
      </c>
      <c r="Z64" s="53">
        <f t="shared" si="50"/>
        <v>-1</v>
      </c>
      <c r="AA64" s="55">
        <f t="shared" si="51"/>
        <v>-1.9230769230769273E-2</v>
      </c>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row>
    <row r="65" spans="2:59" ht="15" x14ac:dyDescent="0.2">
      <c r="B65" s="63" t="s">
        <v>78</v>
      </c>
      <c r="C65" s="70">
        <v>32</v>
      </c>
      <c r="D65" s="70">
        <f>4+28</f>
        <v>32</v>
      </c>
      <c r="E65" s="70">
        <f>27+4</f>
        <v>31</v>
      </c>
      <c r="F65" s="70">
        <f t="shared" ref="F65" si="52">4+27</f>
        <v>31</v>
      </c>
      <c r="G65" s="70">
        <v>28</v>
      </c>
      <c r="H65" s="70">
        <v>27</v>
      </c>
      <c r="I65" s="71">
        <v>28</v>
      </c>
      <c r="J65" s="71">
        <v>28</v>
      </c>
      <c r="K65" s="71">
        <v>28</v>
      </c>
      <c r="L65" s="70">
        <v>28</v>
      </c>
      <c r="M65" s="70">
        <f>25+3</f>
        <v>28</v>
      </c>
      <c r="N65" s="71">
        <v>27</v>
      </c>
      <c r="O65" s="70">
        <v>27</v>
      </c>
      <c r="P65" s="70">
        <v>24</v>
      </c>
      <c r="Q65" s="70">
        <v>22</v>
      </c>
      <c r="R65" s="70">
        <v>22</v>
      </c>
      <c r="S65" s="70">
        <v>22</v>
      </c>
      <c r="T65" s="70">
        <v>22</v>
      </c>
      <c r="U65" s="70">
        <v>21</v>
      </c>
      <c r="V65" s="70">
        <v>21</v>
      </c>
      <c r="W65" s="70">
        <v>21</v>
      </c>
      <c r="X65" s="70">
        <v>20</v>
      </c>
      <c r="Y65" s="70">
        <v>19</v>
      </c>
      <c r="Z65" s="70">
        <f t="shared" si="50"/>
        <v>-1</v>
      </c>
      <c r="AA65" s="72">
        <f t="shared" si="51"/>
        <v>-5.0000000000000044E-2</v>
      </c>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row>
    <row r="66" spans="2:59" ht="15" x14ac:dyDescent="0.2">
      <c r="B66" s="62" t="s">
        <v>79</v>
      </c>
      <c r="C66" s="53">
        <v>51</v>
      </c>
      <c r="D66" s="53">
        <v>51</v>
      </c>
      <c r="E66" s="53">
        <v>50</v>
      </c>
      <c r="F66" s="53">
        <v>50</v>
      </c>
      <c r="G66" s="53">
        <v>50</v>
      </c>
      <c r="H66" s="53">
        <v>50</v>
      </c>
      <c r="I66" s="69">
        <v>48</v>
      </c>
      <c r="J66" s="69">
        <v>48</v>
      </c>
      <c r="K66" s="69">
        <v>48</v>
      </c>
      <c r="L66" s="53">
        <v>47</v>
      </c>
      <c r="M66" s="53">
        <v>47</v>
      </c>
      <c r="N66" s="53">
        <v>46</v>
      </c>
      <c r="O66" s="53">
        <v>46</v>
      </c>
      <c r="P66" s="53">
        <v>46</v>
      </c>
      <c r="Q66" s="53">
        <v>47</v>
      </c>
      <c r="R66" s="53">
        <v>46</v>
      </c>
      <c r="S66" s="53">
        <v>46</v>
      </c>
      <c r="T66" s="53">
        <v>43</v>
      </c>
      <c r="U66" s="53">
        <v>43</v>
      </c>
      <c r="V66" s="53">
        <v>43</v>
      </c>
      <c r="W66" s="53">
        <v>42</v>
      </c>
      <c r="X66" s="53">
        <v>41</v>
      </c>
      <c r="Y66" s="53">
        <v>40</v>
      </c>
      <c r="Z66" s="53">
        <f t="shared" si="50"/>
        <v>-1</v>
      </c>
      <c r="AA66" s="55">
        <f t="shared" si="51"/>
        <v>-2.4390243902439046E-2</v>
      </c>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row>
    <row r="67" spans="2:59" ht="15" x14ac:dyDescent="0.2">
      <c r="B67" s="63" t="s">
        <v>80</v>
      </c>
      <c r="C67" s="70">
        <v>69</v>
      </c>
      <c r="D67" s="70">
        <v>69</v>
      </c>
      <c r="E67" s="70">
        <v>68</v>
      </c>
      <c r="F67" s="70">
        <v>69</v>
      </c>
      <c r="G67" s="70">
        <v>63</v>
      </c>
      <c r="H67" s="70">
        <v>61</v>
      </c>
      <c r="I67" s="71">
        <v>60</v>
      </c>
      <c r="J67" s="71">
        <v>60</v>
      </c>
      <c r="K67" s="71">
        <v>60</v>
      </c>
      <c r="L67" s="70">
        <v>60</v>
      </c>
      <c r="M67" s="70">
        <v>60</v>
      </c>
      <c r="N67" s="71">
        <f>59+1</f>
        <v>60</v>
      </c>
      <c r="O67" s="70">
        <v>59</v>
      </c>
      <c r="P67" s="70">
        <v>52</v>
      </c>
      <c r="Q67" s="70">
        <v>49</v>
      </c>
      <c r="R67" s="70">
        <v>49</v>
      </c>
      <c r="S67" s="70">
        <v>47</v>
      </c>
      <c r="T67" s="70">
        <v>45</v>
      </c>
      <c r="U67" s="70">
        <v>41</v>
      </c>
      <c r="V67" s="70">
        <v>41</v>
      </c>
      <c r="W67" s="70">
        <v>41</v>
      </c>
      <c r="X67" s="70">
        <v>40</v>
      </c>
      <c r="Y67" s="70">
        <v>39</v>
      </c>
      <c r="Z67" s="70">
        <f t="shared" si="50"/>
        <v>-1</v>
      </c>
      <c r="AA67" s="72">
        <f t="shared" si="51"/>
        <v>-2.5000000000000022E-2</v>
      </c>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row>
    <row r="68" spans="2:59" s="67" customFormat="1" ht="15.75" x14ac:dyDescent="0.25">
      <c r="B68" s="65" t="s">
        <v>146</v>
      </c>
      <c r="C68" s="77">
        <f t="shared" ref="C68:E68" si="53">SUM(C62:C67)</f>
        <v>255</v>
      </c>
      <c r="D68" s="77">
        <f t="shared" si="53"/>
        <v>254</v>
      </c>
      <c r="E68" s="77">
        <f t="shared" si="53"/>
        <v>251</v>
      </c>
      <c r="F68" s="77">
        <f t="shared" ref="F68:G68" si="54">SUM(F62:F67)</f>
        <v>250</v>
      </c>
      <c r="G68" s="77">
        <f t="shared" si="54"/>
        <v>229</v>
      </c>
      <c r="H68" s="77">
        <f>SUM(H62:H67)</f>
        <v>225</v>
      </c>
      <c r="I68" s="78">
        <f t="shared" ref="I68:J68" si="55">SUM(I62:I67)</f>
        <v>226</v>
      </c>
      <c r="J68" s="78">
        <f t="shared" si="55"/>
        <v>225</v>
      </c>
      <c r="K68" s="78">
        <f t="shared" ref="K68" si="56">SUM(K62:K67)</f>
        <v>225</v>
      </c>
      <c r="L68" s="77">
        <f t="shared" ref="L68:M68" si="57">SUM(L62:L67)</f>
        <v>224</v>
      </c>
      <c r="M68" s="77">
        <f t="shared" si="57"/>
        <v>221</v>
      </c>
      <c r="N68" s="77">
        <f t="shared" ref="N68:P68" si="58">SUM(N62:N67)</f>
        <v>221</v>
      </c>
      <c r="O68" s="77">
        <f t="shared" si="58"/>
        <v>220</v>
      </c>
      <c r="P68" s="77">
        <f t="shared" si="58"/>
        <v>204</v>
      </c>
      <c r="Q68" s="77">
        <v>197</v>
      </c>
      <c r="R68" s="77">
        <v>196</v>
      </c>
      <c r="S68" s="77">
        <v>193</v>
      </c>
      <c r="T68" s="77">
        <v>187</v>
      </c>
      <c r="U68" s="77">
        <v>181</v>
      </c>
      <c r="V68" s="77">
        <v>180</v>
      </c>
      <c r="W68" s="77">
        <v>178</v>
      </c>
      <c r="X68" s="77">
        <v>173</v>
      </c>
      <c r="Y68" s="77">
        <v>168</v>
      </c>
      <c r="Z68" s="77">
        <f t="shared" si="50"/>
        <v>-5</v>
      </c>
      <c r="AA68" s="79">
        <f t="shared" si="51"/>
        <v>-2.8901734104046284E-2</v>
      </c>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row>
    <row r="69" spans="2:59" s="35" customFormat="1" ht="15.75" x14ac:dyDescent="0.2">
      <c r="B69" s="122" t="s">
        <v>109</v>
      </c>
      <c r="C69" s="82">
        <f t="shared" ref="C69:H69" si="59">SUM(C17,C26,C32,C43,C50,C56,C60,C68)</f>
        <v>8802</v>
      </c>
      <c r="D69" s="82">
        <f t="shared" si="59"/>
        <v>8728</v>
      </c>
      <c r="E69" s="82">
        <f t="shared" si="59"/>
        <v>8615</v>
      </c>
      <c r="F69" s="82">
        <f t="shared" si="59"/>
        <v>8502</v>
      </c>
      <c r="G69" s="82">
        <f t="shared" si="59"/>
        <v>8229</v>
      </c>
      <c r="H69" s="82">
        <f t="shared" si="59"/>
        <v>8066</v>
      </c>
      <c r="I69" s="82">
        <f t="shared" ref="I69:M69" si="60">SUM(I17,I26,I32,I43,I50,I56,I60,I68)</f>
        <v>7905</v>
      </c>
      <c r="J69" s="82">
        <f t="shared" si="60"/>
        <v>7828</v>
      </c>
      <c r="K69" s="82">
        <f t="shared" si="60"/>
        <v>7768</v>
      </c>
      <c r="L69" s="82">
        <f t="shared" si="60"/>
        <v>7714</v>
      </c>
      <c r="M69" s="82">
        <f t="shared" si="60"/>
        <v>7640</v>
      </c>
      <c r="N69" s="82">
        <f t="shared" ref="N69:P69" si="61">SUM(N68,N60,N56,N50,N43,N32,N26,N17)</f>
        <v>7603</v>
      </c>
      <c r="O69" s="82">
        <f t="shared" si="61"/>
        <v>7575</v>
      </c>
      <c r="P69" s="82">
        <f t="shared" si="61"/>
        <v>7196</v>
      </c>
      <c r="Q69" s="82">
        <v>6950</v>
      </c>
      <c r="R69" s="82">
        <v>6840</v>
      </c>
      <c r="S69" s="82">
        <v>6764</v>
      </c>
      <c r="T69" s="82">
        <v>6666</v>
      </c>
      <c r="U69" s="82">
        <v>6571</v>
      </c>
      <c r="V69" s="82">
        <v>6436</v>
      </c>
      <c r="W69" s="82">
        <v>6264</v>
      </c>
      <c r="X69" s="82">
        <v>6136</v>
      </c>
      <c r="Y69" s="82">
        <v>5989</v>
      </c>
      <c r="Z69" s="82">
        <f t="shared" si="50"/>
        <v>-147</v>
      </c>
      <c r="AA69" s="83">
        <f t="shared" si="51"/>
        <v>-2.3956975228161648E-2</v>
      </c>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row>
    <row r="70" spans="2:59" ht="15.75" x14ac:dyDescent="0.25">
      <c r="B70" s="66"/>
      <c r="C70" s="84"/>
      <c r="D70" s="84"/>
      <c r="E70" s="84"/>
      <c r="F70" s="84"/>
      <c r="G70" s="84"/>
      <c r="H70" s="84"/>
      <c r="I70" s="84"/>
      <c r="J70" s="84"/>
      <c r="K70" s="84"/>
      <c r="L70" s="84"/>
      <c r="M70" s="84"/>
      <c r="N70" s="84"/>
      <c r="O70" s="84"/>
      <c r="P70" s="84"/>
      <c r="Q70" s="84"/>
      <c r="R70" s="84"/>
      <c r="S70" s="84"/>
      <c r="T70" s="84"/>
      <c r="U70" s="84"/>
      <c r="V70" s="84"/>
      <c r="W70" s="84"/>
      <c r="X70" s="84"/>
      <c r="Y70" s="84"/>
      <c r="Z70" s="84"/>
      <c r="AA70" s="85"/>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row>
    <row r="71" spans="2:59" ht="15.75" x14ac:dyDescent="0.25">
      <c r="B71" s="126" t="s">
        <v>0</v>
      </c>
      <c r="C71" s="80"/>
      <c r="D71" s="80"/>
      <c r="E71" s="80"/>
      <c r="F71" s="80"/>
      <c r="G71" s="80"/>
      <c r="H71" s="80"/>
      <c r="I71" s="80"/>
      <c r="J71" s="80"/>
      <c r="K71" s="80"/>
      <c r="L71" s="80"/>
      <c r="M71" s="80"/>
      <c r="N71" s="80"/>
      <c r="O71" s="80"/>
      <c r="P71" s="80"/>
      <c r="Q71" s="80"/>
      <c r="R71" s="80"/>
      <c r="S71" s="80"/>
      <c r="T71" s="80"/>
      <c r="U71" s="80"/>
      <c r="V71" s="80"/>
      <c r="W71" s="80"/>
      <c r="X71" s="80"/>
      <c r="Y71" s="80"/>
      <c r="Z71" s="80"/>
      <c r="AA71" s="81"/>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row>
    <row r="72" spans="2:59" ht="15" x14ac:dyDescent="0.2">
      <c r="B72" s="62" t="s">
        <v>105</v>
      </c>
      <c r="C72" s="53">
        <v>351</v>
      </c>
      <c r="D72" s="53">
        <f>72+78+75+126</f>
        <v>351</v>
      </c>
      <c r="E72" s="53">
        <f>70+77+72+122</f>
        <v>341</v>
      </c>
      <c r="F72" s="53">
        <f>71+77+72+1+122</f>
        <v>343</v>
      </c>
      <c r="G72" s="53">
        <v>342</v>
      </c>
      <c r="H72" s="53">
        <v>342</v>
      </c>
      <c r="I72" s="69">
        <v>328</v>
      </c>
      <c r="J72" s="69">
        <v>325</v>
      </c>
      <c r="K72" s="69">
        <v>320</v>
      </c>
      <c r="L72" s="53">
        <v>319</v>
      </c>
      <c r="M72" s="53">
        <f>63+73+67+113</f>
        <v>316</v>
      </c>
      <c r="N72" s="53">
        <v>312</v>
      </c>
      <c r="O72" s="53">
        <v>311</v>
      </c>
      <c r="P72" s="53">
        <v>300</v>
      </c>
      <c r="Q72" s="53">
        <v>297</v>
      </c>
      <c r="R72" s="53">
        <v>292</v>
      </c>
      <c r="S72" s="53">
        <v>289</v>
      </c>
      <c r="T72" s="53">
        <v>288</v>
      </c>
      <c r="U72" s="53">
        <v>285</v>
      </c>
      <c r="V72" s="53">
        <v>280</v>
      </c>
      <c r="W72" s="53">
        <v>278</v>
      </c>
      <c r="X72" s="53">
        <v>273</v>
      </c>
      <c r="Y72" s="53">
        <v>268</v>
      </c>
      <c r="Z72" s="53">
        <f t="shared" ref="Z72:Z80" si="62">Y72-X72</f>
        <v>-5</v>
      </c>
      <c r="AA72" s="55">
        <f t="shared" ref="AA72:AA80" si="63">Y72/X72-1</f>
        <v>-1.8315018315018361E-2</v>
      </c>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row>
    <row r="73" spans="2:59" ht="15" x14ac:dyDescent="0.2">
      <c r="B73" s="63" t="s">
        <v>16</v>
      </c>
      <c r="C73" s="70">
        <v>230</v>
      </c>
      <c r="D73" s="70">
        <v>229</v>
      </c>
      <c r="E73" s="70">
        <v>227</v>
      </c>
      <c r="F73" s="70">
        <v>220</v>
      </c>
      <c r="G73" s="70">
        <v>216</v>
      </c>
      <c r="H73" s="70">
        <v>209</v>
      </c>
      <c r="I73" s="71">
        <v>201</v>
      </c>
      <c r="J73" s="71">
        <v>200</v>
      </c>
      <c r="K73" s="71">
        <v>200</v>
      </c>
      <c r="L73" s="70">
        <v>199</v>
      </c>
      <c r="M73" s="70">
        <v>198</v>
      </c>
      <c r="N73" s="71">
        <v>198</v>
      </c>
      <c r="O73" s="70">
        <v>197</v>
      </c>
      <c r="P73" s="70">
        <v>195</v>
      </c>
      <c r="Q73" s="70">
        <v>198</v>
      </c>
      <c r="R73" s="70">
        <v>192</v>
      </c>
      <c r="S73" s="70">
        <v>192</v>
      </c>
      <c r="T73" s="70">
        <v>191</v>
      </c>
      <c r="U73" s="70">
        <v>187</v>
      </c>
      <c r="V73" s="70">
        <v>182</v>
      </c>
      <c r="W73" s="70">
        <v>177</v>
      </c>
      <c r="X73" s="70">
        <v>172</v>
      </c>
      <c r="Y73" s="70">
        <v>172</v>
      </c>
      <c r="Z73" s="70">
        <f t="shared" si="62"/>
        <v>0</v>
      </c>
      <c r="AA73" s="72" t="s">
        <v>155</v>
      </c>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row>
    <row r="74" spans="2:59" ht="15" x14ac:dyDescent="0.2">
      <c r="B74" s="62" t="s">
        <v>19</v>
      </c>
      <c r="C74" s="53">
        <v>345</v>
      </c>
      <c r="D74" s="53">
        <v>345</v>
      </c>
      <c r="E74" s="53">
        <v>338</v>
      </c>
      <c r="F74" s="53">
        <v>333</v>
      </c>
      <c r="G74" s="53">
        <v>330</v>
      </c>
      <c r="H74" s="53">
        <v>324</v>
      </c>
      <c r="I74" s="69">
        <v>323</v>
      </c>
      <c r="J74" s="69">
        <v>323</v>
      </c>
      <c r="K74" s="69">
        <v>322</v>
      </c>
      <c r="L74" s="53">
        <v>319</v>
      </c>
      <c r="M74" s="53">
        <v>318</v>
      </c>
      <c r="N74" s="53">
        <v>319</v>
      </c>
      <c r="O74" s="53">
        <v>316</v>
      </c>
      <c r="P74" s="53">
        <v>312</v>
      </c>
      <c r="Q74" s="53">
        <v>313</v>
      </c>
      <c r="R74" s="53">
        <v>299</v>
      </c>
      <c r="S74" s="53">
        <v>290</v>
      </c>
      <c r="T74" s="53">
        <v>287</v>
      </c>
      <c r="U74" s="53">
        <v>278</v>
      </c>
      <c r="V74" s="53">
        <v>272</v>
      </c>
      <c r="W74" s="53">
        <v>264</v>
      </c>
      <c r="X74" s="53">
        <v>257</v>
      </c>
      <c r="Y74" s="53">
        <v>254</v>
      </c>
      <c r="Z74" s="53">
        <f t="shared" si="62"/>
        <v>-3</v>
      </c>
      <c r="AA74" s="55">
        <f t="shared" si="63"/>
        <v>-1.1673151750972721E-2</v>
      </c>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row>
    <row r="75" spans="2:59" ht="15" x14ac:dyDescent="0.2">
      <c r="B75" s="63" t="s">
        <v>18</v>
      </c>
      <c r="C75" s="70">
        <v>513</v>
      </c>
      <c r="D75" s="70">
        <f>512+1</f>
        <v>513</v>
      </c>
      <c r="E75" s="70">
        <f>509+1</f>
        <v>510</v>
      </c>
      <c r="F75" s="70">
        <f>505+1</f>
        <v>506</v>
      </c>
      <c r="G75" s="70">
        <v>497</v>
      </c>
      <c r="H75" s="70">
        <v>488</v>
      </c>
      <c r="I75" s="71">
        <v>480</v>
      </c>
      <c r="J75" s="71">
        <v>478</v>
      </c>
      <c r="K75" s="71">
        <v>477</v>
      </c>
      <c r="L75" s="70">
        <v>473</v>
      </c>
      <c r="M75" s="70">
        <v>473</v>
      </c>
      <c r="N75" s="71">
        <v>475</v>
      </c>
      <c r="O75" s="70">
        <v>472</v>
      </c>
      <c r="P75" s="70">
        <v>465</v>
      </c>
      <c r="Q75" s="70">
        <v>464</v>
      </c>
      <c r="R75" s="70">
        <v>447</v>
      </c>
      <c r="S75" s="70">
        <v>435</v>
      </c>
      <c r="T75" s="70">
        <v>429</v>
      </c>
      <c r="U75" s="70">
        <v>423</v>
      </c>
      <c r="V75" s="70">
        <v>410</v>
      </c>
      <c r="W75" s="70">
        <v>391</v>
      </c>
      <c r="X75" s="70">
        <v>379</v>
      </c>
      <c r="Y75" s="70">
        <v>373</v>
      </c>
      <c r="Z75" s="70">
        <f t="shared" si="62"/>
        <v>-6</v>
      </c>
      <c r="AA75" s="72">
        <f t="shared" si="63"/>
        <v>-1.5831134564643801E-2</v>
      </c>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row>
    <row r="76" spans="2:59" ht="15" x14ac:dyDescent="0.2">
      <c r="B76" s="62" t="s">
        <v>106</v>
      </c>
      <c r="C76" s="53">
        <v>135</v>
      </c>
      <c r="D76" s="53">
        <f>56+1+76+1</f>
        <v>134</v>
      </c>
      <c r="E76" s="53">
        <f t="shared" ref="E76" si="64">56+1+75+1</f>
        <v>133</v>
      </c>
      <c r="F76" s="53">
        <f t="shared" ref="F76" si="65">56+1+75+1</f>
        <v>133</v>
      </c>
      <c r="G76" s="53">
        <v>132</v>
      </c>
      <c r="H76" s="53">
        <v>137</v>
      </c>
      <c r="I76" s="69">
        <v>137</v>
      </c>
      <c r="J76" s="69">
        <v>136</v>
      </c>
      <c r="K76" s="69">
        <v>128</v>
      </c>
      <c r="L76" s="53">
        <v>124</v>
      </c>
      <c r="M76" s="53">
        <f>48+75</f>
        <v>123</v>
      </c>
      <c r="N76" s="53">
        <v>123</v>
      </c>
      <c r="O76" s="53">
        <v>122</v>
      </c>
      <c r="P76" s="53">
        <v>112</v>
      </c>
      <c r="Q76" s="53">
        <v>113</v>
      </c>
      <c r="R76" s="53">
        <v>110</v>
      </c>
      <c r="S76" s="53">
        <v>109</v>
      </c>
      <c r="T76" s="53">
        <v>106</v>
      </c>
      <c r="U76" s="53">
        <v>102</v>
      </c>
      <c r="V76" s="53">
        <v>101</v>
      </c>
      <c r="W76" s="53">
        <v>96</v>
      </c>
      <c r="X76" s="53">
        <v>96</v>
      </c>
      <c r="Y76" s="53">
        <v>88</v>
      </c>
      <c r="Z76" s="53">
        <f t="shared" si="62"/>
        <v>-8</v>
      </c>
      <c r="AA76" s="55">
        <f t="shared" si="63"/>
        <v>-8.333333333333337E-2</v>
      </c>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row>
    <row r="77" spans="2:59" ht="15" x14ac:dyDescent="0.2">
      <c r="B77" s="63" t="s">
        <v>17</v>
      </c>
      <c r="C77" s="70">
        <v>169</v>
      </c>
      <c r="D77" s="70">
        <v>170</v>
      </c>
      <c r="E77" s="70">
        <v>167</v>
      </c>
      <c r="F77" s="70">
        <v>166</v>
      </c>
      <c r="G77" s="70">
        <v>159</v>
      </c>
      <c r="H77" s="70">
        <v>151</v>
      </c>
      <c r="I77" s="71">
        <v>149</v>
      </c>
      <c r="J77" s="71">
        <v>148</v>
      </c>
      <c r="K77" s="71">
        <v>150</v>
      </c>
      <c r="L77" s="70">
        <v>152</v>
      </c>
      <c r="M77" s="70">
        <v>152</v>
      </c>
      <c r="N77" s="71">
        <v>152</v>
      </c>
      <c r="O77" s="70">
        <v>149</v>
      </c>
      <c r="P77" s="70">
        <v>145</v>
      </c>
      <c r="Q77" s="70">
        <v>143</v>
      </c>
      <c r="R77" s="70">
        <v>142</v>
      </c>
      <c r="S77" s="70">
        <v>142</v>
      </c>
      <c r="T77" s="70">
        <v>137</v>
      </c>
      <c r="U77" s="70">
        <v>129</v>
      </c>
      <c r="V77" s="70">
        <v>128</v>
      </c>
      <c r="W77" s="70">
        <v>126</v>
      </c>
      <c r="X77" s="70">
        <v>122</v>
      </c>
      <c r="Y77" s="70">
        <v>121</v>
      </c>
      <c r="Z77" s="70">
        <f t="shared" si="62"/>
        <v>-1</v>
      </c>
      <c r="AA77" s="72">
        <f t="shared" si="63"/>
        <v>-8.1967213114754189E-3</v>
      </c>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row>
    <row r="78" spans="2:59" ht="15" x14ac:dyDescent="0.2">
      <c r="B78" s="62" t="s">
        <v>22</v>
      </c>
      <c r="C78" s="53">
        <v>159</v>
      </c>
      <c r="D78" s="53">
        <f>16+19+1+23+87+13</f>
        <v>159</v>
      </c>
      <c r="E78" s="53">
        <f>1+16+19+1+23+86+13</f>
        <v>159</v>
      </c>
      <c r="F78" s="53">
        <f>1+3+83+1+19+23+13+16</f>
        <v>159</v>
      </c>
      <c r="G78" s="53">
        <v>159</v>
      </c>
      <c r="H78" s="53">
        <v>150</v>
      </c>
      <c r="I78" s="69">
        <v>150</v>
      </c>
      <c r="J78" s="69">
        <v>148</v>
      </c>
      <c r="K78" s="69">
        <v>146</v>
      </c>
      <c r="L78" s="53">
        <v>146</v>
      </c>
      <c r="M78" s="53">
        <f>1+17+16+3+21+76+11</f>
        <v>145</v>
      </c>
      <c r="N78" s="53">
        <v>144</v>
      </c>
      <c r="O78" s="53">
        <v>143</v>
      </c>
      <c r="P78" s="53">
        <v>133</v>
      </c>
      <c r="Q78" s="53">
        <v>132</v>
      </c>
      <c r="R78" s="53">
        <v>132</v>
      </c>
      <c r="S78" s="53">
        <v>131</v>
      </c>
      <c r="T78" s="53">
        <v>130</v>
      </c>
      <c r="U78" s="53">
        <v>127</v>
      </c>
      <c r="V78" s="53">
        <v>117</v>
      </c>
      <c r="W78" s="53">
        <v>114</v>
      </c>
      <c r="X78" s="53">
        <v>114</v>
      </c>
      <c r="Y78" s="53">
        <v>113</v>
      </c>
      <c r="Z78" s="53">
        <f t="shared" si="62"/>
        <v>-1</v>
      </c>
      <c r="AA78" s="55">
        <f t="shared" si="63"/>
        <v>-8.7719298245614308E-3</v>
      </c>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row>
    <row r="79" spans="2:59" s="67" customFormat="1" ht="15.75" x14ac:dyDescent="0.25">
      <c r="B79" s="64" t="s">
        <v>146</v>
      </c>
      <c r="C79" s="73">
        <f t="shared" ref="C79:G79" si="66">SUM(C72:C78)</f>
        <v>1902</v>
      </c>
      <c r="D79" s="73">
        <f t="shared" si="66"/>
        <v>1901</v>
      </c>
      <c r="E79" s="73">
        <f t="shared" si="66"/>
        <v>1875</v>
      </c>
      <c r="F79" s="73">
        <f t="shared" si="66"/>
        <v>1860</v>
      </c>
      <c r="G79" s="73">
        <f t="shared" si="66"/>
        <v>1835</v>
      </c>
      <c r="H79" s="73">
        <f>SUM(H72:H78)</f>
        <v>1801</v>
      </c>
      <c r="I79" s="74">
        <f t="shared" ref="I79:J79" si="67">SUM(I72:I78)</f>
        <v>1768</v>
      </c>
      <c r="J79" s="74">
        <f t="shared" si="67"/>
        <v>1758</v>
      </c>
      <c r="K79" s="74">
        <f t="shared" ref="K79" si="68">SUM(K72:K78)</f>
        <v>1743</v>
      </c>
      <c r="L79" s="73">
        <f t="shared" ref="L79:M79" si="69">SUM(L72:L78)</f>
        <v>1732</v>
      </c>
      <c r="M79" s="73">
        <f t="shared" si="69"/>
        <v>1725</v>
      </c>
      <c r="N79" s="74">
        <f t="shared" ref="N79:P79" si="70">SUM(N72:N78)</f>
        <v>1723</v>
      </c>
      <c r="O79" s="73">
        <f t="shared" si="70"/>
        <v>1710</v>
      </c>
      <c r="P79" s="73">
        <f t="shared" si="70"/>
        <v>1662</v>
      </c>
      <c r="Q79" s="73">
        <v>1660</v>
      </c>
      <c r="R79" s="73">
        <v>1614</v>
      </c>
      <c r="S79" s="73">
        <v>1588</v>
      </c>
      <c r="T79" s="73">
        <v>1568</v>
      </c>
      <c r="U79" s="73">
        <v>1531</v>
      </c>
      <c r="V79" s="73">
        <v>1490</v>
      </c>
      <c r="W79" s="73">
        <v>1446</v>
      </c>
      <c r="X79" s="73">
        <v>1413</v>
      </c>
      <c r="Y79" s="73">
        <v>1389</v>
      </c>
      <c r="Z79" s="73">
        <f t="shared" si="62"/>
        <v>-24</v>
      </c>
      <c r="AA79" s="75">
        <f t="shared" si="63"/>
        <v>-1.6985138004246281E-2</v>
      </c>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row>
    <row r="80" spans="2:59" ht="15.75" x14ac:dyDescent="0.2">
      <c r="B80" s="122" t="s">
        <v>116</v>
      </c>
      <c r="C80" s="82">
        <f t="shared" ref="C80:H80" si="71">SUM(C17,C26,C32,C43,C50,C56,C60,C68,C79)</f>
        <v>10704</v>
      </c>
      <c r="D80" s="82">
        <f t="shared" si="71"/>
        <v>10629</v>
      </c>
      <c r="E80" s="82">
        <f t="shared" si="71"/>
        <v>10490</v>
      </c>
      <c r="F80" s="82">
        <f t="shared" si="71"/>
        <v>10362</v>
      </c>
      <c r="G80" s="82">
        <f t="shared" si="71"/>
        <v>10064</v>
      </c>
      <c r="H80" s="82">
        <f t="shared" si="71"/>
        <v>9867</v>
      </c>
      <c r="I80" s="82">
        <f t="shared" ref="I80:M80" si="72">SUM(I17,I26,I32,I43,I50,I56,I60,I68,I79)</f>
        <v>9673</v>
      </c>
      <c r="J80" s="82">
        <f t="shared" si="72"/>
        <v>9586</v>
      </c>
      <c r="K80" s="82">
        <f t="shared" si="72"/>
        <v>9511</v>
      </c>
      <c r="L80" s="82">
        <f t="shared" si="72"/>
        <v>9446</v>
      </c>
      <c r="M80" s="82">
        <f t="shared" si="72"/>
        <v>9365</v>
      </c>
      <c r="N80" s="82">
        <f t="shared" ref="N80:P80" si="73">SUM(N79,N69)</f>
        <v>9326</v>
      </c>
      <c r="O80" s="82">
        <f t="shared" si="73"/>
        <v>9285</v>
      </c>
      <c r="P80" s="82">
        <f t="shared" si="73"/>
        <v>8858</v>
      </c>
      <c r="Q80" s="82">
        <v>8610</v>
      </c>
      <c r="R80" s="82">
        <v>8454</v>
      </c>
      <c r="S80" s="82">
        <v>8352</v>
      </c>
      <c r="T80" s="82">
        <v>8234</v>
      </c>
      <c r="U80" s="82">
        <v>8102</v>
      </c>
      <c r="V80" s="82">
        <v>7926</v>
      </c>
      <c r="W80" s="82">
        <v>7710</v>
      </c>
      <c r="X80" s="82">
        <v>7549</v>
      </c>
      <c r="Y80" s="82">
        <v>7378</v>
      </c>
      <c r="Z80" s="82">
        <f t="shared" si="62"/>
        <v>-171</v>
      </c>
      <c r="AA80" s="83">
        <f t="shared" si="63"/>
        <v>-2.2652006888329579E-2</v>
      </c>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row>
    <row r="81" spans="2:59" ht="15" x14ac:dyDescent="0.25">
      <c r="B81" s="17"/>
      <c r="C81" s="18"/>
      <c r="D81" s="18"/>
      <c r="E81" s="18"/>
      <c r="F81" s="18"/>
      <c r="G81" s="18"/>
      <c r="H81" s="18"/>
      <c r="I81" s="18"/>
      <c r="J81" s="18"/>
      <c r="K81" s="18"/>
      <c r="L81" s="19"/>
      <c r="M81" s="20"/>
      <c r="N81" s="21"/>
      <c r="O81" s="21"/>
      <c r="P81" s="21"/>
      <c r="Q81" s="21"/>
      <c r="R81" s="21"/>
      <c r="S81" s="21"/>
      <c r="T81" s="21"/>
      <c r="U81" s="21"/>
      <c r="V81" s="21"/>
      <c r="W81" s="21"/>
      <c r="X81" s="21"/>
      <c r="Y81" s="21"/>
      <c r="Z81" s="19"/>
      <c r="AA81" s="20"/>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row>
    <row r="82" spans="2:59" ht="14.25" x14ac:dyDescent="0.2">
      <c r="B82" s="22"/>
      <c r="C82" s="13"/>
      <c r="D82" s="13"/>
      <c r="E82" s="13"/>
      <c r="F82" s="13"/>
      <c r="G82" s="13"/>
      <c r="H82" s="13"/>
      <c r="I82" s="13"/>
      <c r="J82" s="13"/>
      <c r="K82" s="13"/>
      <c r="L82" s="13"/>
      <c r="M82" s="13"/>
      <c r="N82" s="21"/>
      <c r="O82" s="21"/>
      <c r="P82" s="21"/>
      <c r="Q82" s="21"/>
      <c r="R82" s="21"/>
      <c r="S82" s="21"/>
      <c r="T82" s="21"/>
      <c r="U82" s="21"/>
      <c r="V82" s="21"/>
      <c r="W82" s="21"/>
      <c r="X82" s="21"/>
      <c r="Y82" s="21"/>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row>
    <row r="83" spans="2:59" x14ac:dyDescent="0.2">
      <c r="B83" s="23"/>
      <c r="C83" s="13"/>
      <c r="D83" s="13"/>
      <c r="E83" s="13"/>
      <c r="F83" s="13"/>
      <c r="G83" s="13"/>
      <c r="H83" s="13"/>
      <c r="I83" s="13"/>
      <c r="J83" s="13"/>
      <c r="K83" s="13"/>
      <c r="L83" s="13"/>
      <c r="M83" s="13"/>
      <c r="N83" s="21"/>
      <c r="O83" s="21"/>
      <c r="P83" s="24"/>
      <c r="Q83" s="24"/>
      <c r="R83" s="24"/>
      <c r="S83" s="24"/>
      <c r="T83" s="24"/>
      <c r="U83" s="24"/>
      <c r="V83" s="24"/>
      <c r="W83" s="24"/>
      <c r="X83" s="24"/>
      <c r="Y83" s="24"/>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row>
    <row r="84" spans="2:59" x14ac:dyDescent="0.2">
      <c r="B84" s="175"/>
      <c r="C84" s="176"/>
      <c r="D84" s="25"/>
      <c r="E84" s="25"/>
      <c r="F84" s="25"/>
      <c r="G84" s="25"/>
      <c r="H84" s="26"/>
      <c r="I84" s="26"/>
      <c r="J84" s="26"/>
      <c r="K84" s="26"/>
      <c r="L84" s="25"/>
      <c r="M84" s="25"/>
      <c r="N84" s="21"/>
      <c r="O84" s="21"/>
      <c r="P84" s="21"/>
      <c r="Q84" s="21"/>
      <c r="R84" s="21"/>
      <c r="S84" s="21"/>
      <c r="T84" s="21"/>
      <c r="U84" s="21"/>
      <c r="V84" s="21"/>
      <c r="W84" s="21"/>
      <c r="X84" s="21"/>
      <c r="Y84" s="21"/>
      <c r="Z84" s="25"/>
      <c r="AA84" s="25"/>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row>
    <row r="85" spans="2:59" x14ac:dyDescent="0.2">
      <c r="B85" s="27"/>
      <c r="C85" s="28"/>
      <c r="D85" s="25"/>
      <c r="E85" s="25"/>
      <c r="F85" s="25"/>
      <c r="G85" s="25"/>
      <c r="H85" s="25"/>
      <c r="I85" s="25"/>
      <c r="J85" s="25"/>
      <c r="K85" s="25"/>
      <c r="L85" s="25"/>
      <c r="M85" s="25"/>
      <c r="N85" s="21"/>
      <c r="O85" s="21"/>
      <c r="P85" s="19"/>
      <c r="Q85" s="19"/>
      <c r="R85" s="19"/>
      <c r="S85" s="19"/>
      <c r="T85" s="19"/>
      <c r="U85" s="19"/>
      <c r="V85" s="19"/>
      <c r="W85" s="19"/>
      <c r="X85" s="19"/>
      <c r="Y85" s="19"/>
      <c r="Z85" s="25"/>
      <c r="AA85" s="25"/>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row>
    <row r="86" spans="2:59" ht="64.5" customHeight="1" x14ac:dyDescent="0.2">
      <c r="B86" s="172"/>
      <c r="C86" s="173"/>
      <c r="D86" s="29"/>
      <c r="E86" s="29"/>
      <c r="F86" s="29"/>
      <c r="G86" s="29"/>
      <c r="H86" s="29"/>
      <c r="I86" s="29"/>
      <c r="J86" s="29"/>
      <c r="K86" s="29"/>
      <c r="L86" s="29"/>
      <c r="M86" s="13"/>
      <c r="N86" s="21"/>
      <c r="O86" s="21"/>
      <c r="P86" s="21"/>
      <c r="Q86" s="21"/>
      <c r="R86" s="21"/>
      <c r="S86" s="21"/>
      <c r="T86" s="21"/>
      <c r="U86" s="21"/>
      <c r="V86" s="21"/>
      <c r="W86" s="21"/>
      <c r="X86" s="21"/>
      <c r="Y86" s="21"/>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row>
    <row r="87" spans="2:59" ht="74.25" customHeight="1" x14ac:dyDescent="0.2">
      <c r="B87" s="174"/>
      <c r="C87" s="174"/>
      <c r="D87" s="29"/>
      <c r="E87" s="29"/>
      <c r="F87" s="29"/>
      <c r="G87" s="29"/>
      <c r="H87" s="29"/>
      <c r="I87" s="29"/>
      <c r="J87" s="29"/>
      <c r="K87" s="29"/>
      <c r="L87" s="29"/>
      <c r="M87" s="13"/>
      <c r="N87" s="21"/>
      <c r="O87" s="21"/>
      <c r="P87" s="21"/>
      <c r="Q87" s="21"/>
      <c r="R87" s="21"/>
      <c r="S87" s="21"/>
      <c r="T87" s="21"/>
      <c r="U87" s="21"/>
      <c r="V87" s="21"/>
      <c r="W87" s="21"/>
      <c r="X87" s="21"/>
      <c r="Y87" s="21"/>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row>
    <row r="88" spans="2:59" x14ac:dyDescent="0.2">
      <c r="B88" s="29"/>
      <c r="C88" s="29"/>
      <c r="D88" s="29"/>
      <c r="E88" s="29"/>
      <c r="F88" s="29"/>
      <c r="G88" s="29"/>
      <c r="H88" s="29"/>
      <c r="I88" s="29"/>
      <c r="J88" s="29"/>
      <c r="K88" s="29"/>
      <c r="L88" s="29"/>
      <c r="M88" s="13"/>
      <c r="N88" s="21"/>
      <c r="O88" s="21"/>
      <c r="P88" s="21"/>
      <c r="Q88" s="21"/>
      <c r="R88" s="21"/>
      <c r="S88" s="21"/>
      <c r="T88" s="21"/>
      <c r="U88" s="21"/>
      <c r="V88" s="21"/>
      <c r="W88" s="21"/>
      <c r="X88" s="21"/>
      <c r="Y88" s="21"/>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row>
    <row r="89" spans="2:59" x14ac:dyDescent="0.2">
      <c r="B89" s="177"/>
      <c r="C89" s="30"/>
      <c r="D89" s="29"/>
      <c r="E89" s="29"/>
      <c r="F89" s="29"/>
      <c r="G89" s="29"/>
      <c r="H89" s="29"/>
      <c r="I89" s="29"/>
      <c r="J89" s="29"/>
      <c r="K89" s="29"/>
      <c r="L89" s="29"/>
      <c r="M89" s="13"/>
      <c r="N89" s="21"/>
      <c r="O89" s="21"/>
      <c r="P89" s="21"/>
      <c r="Q89" s="21"/>
      <c r="R89" s="21"/>
      <c r="S89" s="21"/>
      <c r="T89" s="21"/>
      <c r="U89" s="21"/>
      <c r="V89" s="21"/>
      <c r="W89" s="21"/>
      <c r="X89" s="21"/>
      <c r="Y89" s="21"/>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row>
    <row r="90" spans="2:59" ht="31.5" customHeight="1" x14ac:dyDescent="0.2">
      <c r="B90" s="177"/>
      <c r="C90" s="30"/>
      <c r="D90" s="29"/>
      <c r="E90" s="29"/>
      <c r="F90" s="29"/>
      <c r="G90" s="29"/>
      <c r="H90" s="29"/>
      <c r="I90" s="29"/>
      <c r="J90" s="29"/>
      <c r="K90" s="29"/>
      <c r="L90" s="29"/>
      <c r="M90" s="13"/>
      <c r="N90" s="21"/>
      <c r="O90" s="21"/>
      <c r="P90" s="21"/>
      <c r="Q90" s="21"/>
      <c r="R90" s="21"/>
      <c r="S90" s="21"/>
      <c r="T90" s="21"/>
      <c r="U90" s="21"/>
      <c r="V90" s="21"/>
      <c r="W90" s="21"/>
      <c r="X90" s="21"/>
      <c r="Y90" s="21"/>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row>
    <row r="91" spans="2:59" x14ac:dyDescent="0.2">
      <c r="B91" s="31"/>
      <c r="C91" s="30"/>
      <c r="D91" s="29"/>
      <c r="E91" s="29"/>
      <c r="F91" s="29"/>
      <c r="G91" s="29"/>
      <c r="H91" s="29"/>
      <c r="I91" s="29"/>
      <c r="J91" s="29"/>
      <c r="K91" s="29"/>
      <c r="L91" s="29"/>
      <c r="M91" s="13"/>
      <c r="N91" s="21"/>
      <c r="O91" s="21"/>
      <c r="P91" s="21"/>
      <c r="Q91" s="21"/>
      <c r="R91" s="21"/>
      <c r="S91" s="21"/>
      <c r="T91" s="21"/>
      <c r="U91" s="21"/>
      <c r="V91" s="21"/>
      <c r="W91" s="21"/>
      <c r="X91" s="21"/>
      <c r="Y91" s="21"/>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row>
    <row r="92" spans="2:59" x14ac:dyDescent="0.2">
      <c r="B92" s="31"/>
      <c r="C92" s="30"/>
      <c r="D92" s="29"/>
      <c r="E92" s="29"/>
      <c r="F92" s="29"/>
      <c r="G92" s="29"/>
      <c r="H92" s="29"/>
      <c r="I92" s="29"/>
      <c r="J92" s="29"/>
      <c r="K92" s="29"/>
      <c r="L92" s="29"/>
      <c r="M92" s="13"/>
      <c r="N92" s="21"/>
      <c r="O92" s="21"/>
      <c r="P92" s="21"/>
      <c r="Q92" s="21"/>
      <c r="R92" s="21"/>
      <c r="S92" s="21"/>
      <c r="T92" s="21"/>
      <c r="U92" s="21"/>
      <c r="V92" s="21"/>
      <c r="W92" s="21"/>
      <c r="X92" s="21"/>
      <c r="Y92" s="21"/>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row>
    <row r="93" spans="2:59" x14ac:dyDescent="0.2">
      <c r="B93" s="31"/>
      <c r="C93" s="30"/>
      <c r="D93" s="29"/>
      <c r="E93" s="29"/>
      <c r="F93" s="29"/>
      <c r="G93" s="29"/>
      <c r="H93" s="29"/>
      <c r="I93" s="29"/>
      <c r="J93" s="29"/>
      <c r="K93" s="29"/>
      <c r="L93" s="29"/>
      <c r="M93" s="13"/>
      <c r="N93" s="21"/>
      <c r="O93" s="21"/>
      <c r="P93" s="21"/>
      <c r="Q93" s="21"/>
      <c r="R93" s="21"/>
      <c r="S93" s="21"/>
      <c r="T93" s="21"/>
      <c r="U93" s="21"/>
      <c r="V93" s="21"/>
      <c r="W93" s="21"/>
      <c r="X93" s="21"/>
      <c r="Y93" s="21"/>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row>
    <row r="94" spans="2:59" x14ac:dyDescent="0.2">
      <c r="B94" s="31"/>
      <c r="C94" s="30"/>
      <c r="D94" s="29"/>
      <c r="E94" s="29"/>
      <c r="F94" s="29"/>
      <c r="G94" s="29"/>
      <c r="H94" s="29"/>
      <c r="I94" s="29"/>
      <c r="J94" s="29"/>
      <c r="K94" s="29"/>
      <c r="L94" s="29"/>
      <c r="M94" s="13"/>
      <c r="N94" s="21"/>
      <c r="O94" s="21"/>
      <c r="P94" s="21"/>
      <c r="Q94" s="21"/>
      <c r="R94" s="21"/>
      <c r="S94" s="21"/>
      <c r="T94" s="21"/>
      <c r="U94" s="21"/>
      <c r="V94" s="21"/>
      <c r="W94" s="21"/>
      <c r="X94" s="21"/>
      <c r="Y94" s="21"/>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row>
    <row r="95" spans="2:59" x14ac:dyDescent="0.2">
      <c r="B95" s="31"/>
      <c r="C95" s="30"/>
      <c r="D95" s="29"/>
      <c r="E95" s="29"/>
      <c r="F95" s="29"/>
      <c r="G95" s="29"/>
      <c r="H95" s="29"/>
      <c r="I95" s="29"/>
      <c r="J95" s="29"/>
      <c r="K95" s="29"/>
      <c r="L95" s="29"/>
      <c r="M95" s="13"/>
      <c r="N95" s="21"/>
      <c r="O95" s="21"/>
      <c r="P95" s="21"/>
      <c r="Q95" s="21"/>
      <c r="R95" s="21"/>
      <c r="S95" s="21"/>
      <c r="T95" s="21"/>
      <c r="U95" s="21"/>
      <c r="V95" s="21"/>
      <c r="W95" s="21"/>
      <c r="X95" s="21"/>
      <c r="Y95" s="21"/>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row>
    <row r="96" spans="2:59" x14ac:dyDescent="0.2">
      <c r="B96" s="31"/>
      <c r="C96" s="31"/>
      <c r="D96" s="13"/>
      <c r="E96" s="13"/>
      <c r="F96" s="13"/>
      <c r="G96" s="13"/>
      <c r="H96" s="13"/>
      <c r="I96" s="13"/>
      <c r="J96" s="13"/>
      <c r="K96" s="13"/>
      <c r="L96" s="13"/>
      <c r="M96" s="13"/>
      <c r="N96" s="21"/>
      <c r="O96" s="21"/>
      <c r="P96" s="21"/>
      <c r="Q96" s="21"/>
      <c r="R96" s="21"/>
      <c r="S96" s="21"/>
      <c r="T96" s="21"/>
      <c r="U96" s="21"/>
      <c r="V96" s="21"/>
      <c r="W96" s="21"/>
      <c r="X96" s="21"/>
      <c r="Y96" s="21"/>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row>
    <row r="97" spans="2:59" x14ac:dyDescent="0.2">
      <c r="B97" s="31"/>
      <c r="C97" s="31"/>
      <c r="D97" s="13"/>
      <c r="E97" s="13"/>
      <c r="F97" s="13"/>
      <c r="G97" s="13"/>
      <c r="H97" s="13"/>
      <c r="I97" s="13"/>
      <c r="J97" s="13"/>
      <c r="K97" s="13"/>
      <c r="L97" s="13"/>
      <c r="M97" s="13"/>
      <c r="N97" s="21"/>
      <c r="O97" s="21"/>
      <c r="P97" s="21"/>
      <c r="Q97" s="21"/>
      <c r="R97" s="21"/>
      <c r="S97" s="21"/>
      <c r="T97" s="21"/>
      <c r="U97" s="21"/>
      <c r="V97" s="21"/>
      <c r="W97" s="21"/>
      <c r="X97" s="21"/>
      <c r="Y97" s="21"/>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row>
    <row r="98" spans="2:59" x14ac:dyDescent="0.2">
      <c r="B98" s="31"/>
      <c r="C98" s="31"/>
      <c r="D98" s="13"/>
      <c r="E98" s="13"/>
      <c r="F98" s="13"/>
      <c r="G98" s="13"/>
      <c r="H98" s="13"/>
      <c r="I98" s="13"/>
      <c r="J98" s="13"/>
      <c r="K98" s="13"/>
      <c r="L98" s="13"/>
      <c r="M98" s="13"/>
      <c r="N98" s="21"/>
      <c r="O98" s="21"/>
      <c r="P98" s="21"/>
      <c r="Q98" s="21"/>
      <c r="R98" s="21"/>
      <c r="S98" s="21"/>
      <c r="T98" s="21"/>
      <c r="U98" s="21"/>
      <c r="V98" s="21"/>
      <c r="W98" s="21"/>
      <c r="X98" s="21"/>
      <c r="Y98" s="21"/>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row>
    <row r="99" spans="2:59" x14ac:dyDescent="0.2">
      <c r="B99" s="31"/>
      <c r="C99" s="31"/>
      <c r="D99" s="13"/>
      <c r="E99" s="13"/>
      <c r="F99" s="13"/>
      <c r="G99" s="13"/>
      <c r="H99" s="13"/>
      <c r="I99" s="13"/>
      <c r="J99" s="13"/>
      <c r="K99" s="13"/>
      <c r="L99" s="13"/>
      <c r="M99" s="13"/>
      <c r="N99" s="21"/>
      <c r="O99" s="21"/>
      <c r="P99" s="21"/>
      <c r="Q99" s="21"/>
      <c r="R99" s="21"/>
      <c r="S99" s="21"/>
      <c r="T99" s="21"/>
      <c r="U99" s="21"/>
      <c r="V99" s="21"/>
      <c r="W99" s="21"/>
      <c r="X99" s="21"/>
      <c r="Y99" s="21"/>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row>
    <row r="100" spans="2:59" x14ac:dyDescent="0.2">
      <c r="B100" s="31"/>
      <c r="C100" s="31"/>
      <c r="D100" s="13"/>
      <c r="E100" s="13"/>
      <c r="F100" s="13"/>
      <c r="G100" s="13"/>
      <c r="H100" s="13"/>
      <c r="I100" s="13"/>
      <c r="J100" s="13"/>
      <c r="K100" s="13"/>
      <c r="L100" s="13"/>
      <c r="M100" s="13"/>
      <c r="N100" s="21"/>
      <c r="O100" s="21"/>
      <c r="P100" s="21"/>
      <c r="Q100" s="21"/>
      <c r="R100" s="21"/>
      <c r="S100" s="21"/>
      <c r="T100" s="21"/>
      <c r="U100" s="21"/>
      <c r="V100" s="21"/>
      <c r="W100" s="21"/>
      <c r="X100" s="21"/>
      <c r="Y100" s="21"/>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row>
    <row r="101" spans="2:59" x14ac:dyDescent="0.2">
      <c r="B101" s="31"/>
      <c r="C101" s="31"/>
      <c r="D101" s="13"/>
      <c r="E101" s="13"/>
      <c r="F101" s="13"/>
      <c r="G101" s="13"/>
      <c r="H101" s="13"/>
      <c r="I101" s="13"/>
      <c r="J101" s="13"/>
      <c r="K101" s="13"/>
      <c r="L101" s="13"/>
      <c r="M101" s="13"/>
      <c r="N101" s="21"/>
      <c r="O101" s="21"/>
      <c r="P101" s="21"/>
      <c r="Q101" s="21"/>
      <c r="R101" s="21"/>
      <c r="S101" s="21"/>
      <c r="T101" s="21"/>
      <c r="U101" s="21"/>
      <c r="V101" s="21"/>
      <c r="W101" s="21"/>
      <c r="X101" s="21"/>
      <c r="Y101" s="21"/>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row>
    <row r="102" spans="2:59" x14ac:dyDescent="0.2">
      <c r="B102" s="31"/>
      <c r="C102" s="31"/>
      <c r="D102" s="13"/>
      <c r="E102" s="13"/>
      <c r="F102" s="13"/>
      <c r="G102" s="13"/>
      <c r="H102" s="13"/>
      <c r="I102" s="13"/>
      <c r="J102" s="13"/>
      <c r="K102" s="13"/>
      <c r="L102" s="13"/>
      <c r="M102" s="13"/>
      <c r="N102" s="21"/>
      <c r="O102" s="21"/>
      <c r="P102" s="21"/>
      <c r="Q102" s="21"/>
      <c r="R102" s="21"/>
      <c r="S102" s="21"/>
      <c r="T102" s="21"/>
      <c r="U102" s="21"/>
      <c r="V102" s="21"/>
      <c r="W102" s="21"/>
      <c r="X102" s="21"/>
      <c r="Y102" s="21"/>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row>
    <row r="103" spans="2:59" x14ac:dyDescent="0.2">
      <c r="B103" s="31"/>
      <c r="C103" s="31"/>
      <c r="D103" s="13"/>
      <c r="E103" s="13"/>
      <c r="F103" s="13"/>
      <c r="G103" s="13"/>
      <c r="H103" s="13"/>
      <c r="I103" s="13"/>
      <c r="J103" s="13"/>
      <c r="K103" s="13"/>
      <c r="L103" s="13"/>
      <c r="M103" s="13"/>
      <c r="N103" s="21"/>
      <c r="O103" s="21"/>
      <c r="P103" s="21"/>
      <c r="Q103" s="21"/>
      <c r="R103" s="21"/>
      <c r="S103" s="21"/>
      <c r="T103" s="21"/>
      <c r="U103" s="21"/>
      <c r="V103" s="21"/>
      <c r="W103" s="21"/>
      <c r="X103" s="21"/>
      <c r="Y103" s="21"/>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row>
    <row r="104" spans="2:59" x14ac:dyDescent="0.2">
      <c r="B104" s="31"/>
      <c r="C104" s="31"/>
      <c r="D104" s="13"/>
      <c r="E104" s="13"/>
      <c r="F104" s="13"/>
      <c r="G104" s="13"/>
      <c r="H104" s="13"/>
      <c r="I104" s="13"/>
      <c r="J104" s="13"/>
      <c r="K104" s="13"/>
      <c r="L104" s="13"/>
      <c r="M104" s="13"/>
      <c r="N104" s="21"/>
      <c r="O104" s="21"/>
      <c r="P104" s="21"/>
      <c r="Q104" s="21"/>
      <c r="R104" s="21"/>
      <c r="S104" s="21"/>
      <c r="T104" s="21"/>
      <c r="U104" s="21"/>
      <c r="V104" s="21"/>
      <c r="W104" s="21"/>
      <c r="X104" s="21"/>
      <c r="Y104" s="21"/>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row>
    <row r="105" spans="2:59" x14ac:dyDescent="0.2">
      <c r="B105" s="31"/>
      <c r="C105" s="31"/>
      <c r="D105" s="13"/>
      <c r="E105" s="13"/>
      <c r="F105" s="13"/>
      <c r="G105" s="13"/>
      <c r="H105" s="13"/>
      <c r="I105" s="13"/>
      <c r="J105" s="13"/>
      <c r="K105" s="13"/>
      <c r="L105" s="13"/>
      <c r="M105" s="13"/>
      <c r="N105" s="21"/>
      <c r="O105" s="21"/>
      <c r="P105" s="21"/>
      <c r="Q105" s="21"/>
      <c r="R105" s="21"/>
      <c r="S105" s="21"/>
      <c r="T105" s="21"/>
      <c r="U105" s="21"/>
      <c r="V105" s="21"/>
      <c r="W105" s="21"/>
      <c r="X105" s="21"/>
      <c r="Y105" s="21"/>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row>
    <row r="106" spans="2:59" x14ac:dyDescent="0.2">
      <c r="B106" s="31"/>
      <c r="C106" s="31"/>
      <c r="D106" s="13"/>
      <c r="E106" s="13"/>
      <c r="F106" s="13"/>
      <c r="G106" s="13"/>
      <c r="H106" s="13"/>
      <c r="I106" s="13"/>
      <c r="J106" s="13"/>
      <c r="K106" s="13"/>
      <c r="L106" s="13"/>
      <c r="M106" s="13"/>
      <c r="N106" s="21"/>
      <c r="O106" s="21"/>
      <c r="P106" s="21"/>
      <c r="Q106" s="21"/>
      <c r="R106" s="21"/>
      <c r="S106" s="21"/>
      <c r="T106" s="21"/>
      <c r="U106" s="21"/>
      <c r="V106" s="21"/>
      <c r="W106" s="21"/>
      <c r="X106" s="21"/>
      <c r="Y106" s="21"/>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row>
    <row r="107" spans="2:59" x14ac:dyDescent="0.2">
      <c r="B107" s="31"/>
      <c r="C107" s="31"/>
      <c r="D107" s="13"/>
      <c r="E107" s="13"/>
      <c r="F107" s="13"/>
      <c r="G107" s="13"/>
      <c r="H107" s="13"/>
      <c r="I107" s="13"/>
      <c r="J107" s="13"/>
      <c r="K107" s="13"/>
      <c r="L107" s="13"/>
      <c r="M107" s="13"/>
      <c r="N107" s="21"/>
      <c r="O107" s="21"/>
      <c r="P107" s="21"/>
      <c r="Q107" s="21"/>
      <c r="R107" s="21"/>
      <c r="S107" s="21"/>
      <c r="T107" s="21"/>
      <c r="U107" s="21"/>
      <c r="V107" s="21"/>
      <c r="W107" s="21"/>
      <c r="X107" s="21"/>
      <c r="Y107" s="21"/>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row>
    <row r="108" spans="2:59" x14ac:dyDescent="0.2">
      <c r="B108" s="31"/>
      <c r="C108" s="31"/>
      <c r="D108" s="13"/>
      <c r="E108" s="13"/>
      <c r="F108" s="13"/>
      <c r="G108" s="13"/>
      <c r="H108" s="13"/>
      <c r="I108" s="13"/>
      <c r="J108" s="13"/>
      <c r="K108" s="13"/>
      <c r="L108" s="13"/>
      <c r="M108" s="13"/>
      <c r="N108" s="21"/>
      <c r="O108" s="21"/>
      <c r="P108" s="21"/>
      <c r="Q108" s="21"/>
      <c r="R108" s="21"/>
      <c r="S108" s="21"/>
      <c r="T108" s="21"/>
      <c r="U108" s="21"/>
      <c r="V108" s="21"/>
      <c r="W108" s="21"/>
      <c r="X108" s="21"/>
      <c r="Y108" s="21"/>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row>
    <row r="109" spans="2:59" x14ac:dyDescent="0.2">
      <c r="B109" s="31"/>
      <c r="C109" s="31"/>
      <c r="D109" s="13"/>
      <c r="E109" s="13"/>
      <c r="F109" s="13"/>
      <c r="G109" s="13"/>
      <c r="H109" s="13"/>
      <c r="I109" s="13"/>
      <c r="J109" s="13"/>
      <c r="K109" s="13"/>
      <c r="L109" s="13"/>
      <c r="M109" s="13"/>
      <c r="N109" s="21"/>
      <c r="O109" s="21"/>
      <c r="P109" s="21"/>
      <c r="Q109" s="21"/>
      <c r="R109" s="21"/>
      <c r="S109" s="21"/>
      <c r="T109" s="21"/>
      <c r="U109" s="21"/>
      <c r="V109" s="21"/>
      <c r="W109" s="21"/>
      <c r="X109" s="21"/>
      <c r="Y109" s="21"/>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row>
    <row r="110" spans="2:59" x14ac:dyDescent="0.2">
      <c r="B110" s="31"/>
      <c r="C110" s="31"/>
      <c r="D110" s="13"/>
      <c r="E110" s="13"/>
      <c r="F110" s="13"/>
      <c r="G110" s="13"/>
      <c r="H110" s="13"/>
      <c r="I110" s="13"/>
      <c r="J110" s="13"/>
      <c r="K110" s="13"/>
      <c r="L110" s="13"/>
      <c r="M110" s="13"/>
      <c r="N110" s="21"/>
      <c r="O110" s="21"/>
      <c r="P110" s="21"/>
      <c r="Q110" s="21"/>
      <c r="R110" s="21"/>
      <c r="S110" s="21"/>
      <c r="T110" s="21"/>
      <c r="U110" s="21"/>
      <c r="V110" s="21"/>
      <c r="W110" s="21"/>
      <c r="X110" s="21"/>
      <c r="Y110" s="21"/>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row>
    <row r="111" spans="2:59" x14ac:dyDescent="0.2">
      <c r="B111" s="31"/>
      <c r="C111" s="31"/>
      <c r="D111" s="13"/>
      <c r="E111" s="13"/>
      <c r="F111" s="13"/>
      <c r="G111" s="13"/>
      <c r="H111" s="13"/>
      <c r="I111" s="13"/>
      <c r="J111" s="13"/>
      <c r="K111" s="13"/>
      <c r="L111" s="13"/>
      <c r="M111" s="13"/>
      <c r="N111" s="21"/>
      <c r="O111" s="21"/>
      <c r="P111" s="21"/>
      <c r="Q111" s="21"/>
      <c r="R111" s="21"/>
      <c r="S111" s="21"/>
      <c r="T111" s="21"/>
      <c r="U111" s="21"/>
      <c r="V111" s="21"/>
      <c r="W111" s="21"/>
      <c r="X111" s="21"/>
      <c r="Y111" s="21"/>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row>
    <row r="112" spans="2:59" x14ac:dyDescent="0.2">
      <c r="B112" s="31"/>
      <c r="C112" s="31"/>
      <c r="D112" s="13"/>
      <c r="E112" s="13"/>
      <c r="F112" s="13"/>
      <c r="G112" s="13"/>
      <c r="H112" s="13"/>
      <c r="I112" s="13"/>
      <c r="J112" s="13"/>
      <c r="K112" s="13"/>
      <c r="L112" s="13"/>
      <c r="M112" s="13"/>
      <c r="N112" s="21"/>
      <c r="O112" s="21"/>
      <c r="P112" s="21"/>
      <c r="Q112" s="21"/>
      <c r="R112" s="21"/>
      <c r="S112" s="21"/>
      <c r="T112" s="21"/>
      <c r="U112" s="21"/>
      <c r="V112" s="21"/>
      <c r="W112" s="21"/>
      <c r="X112" s="21"/>
      <c r="Y112" s="21"/>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row>
    <row r="113" spans="2:59" x14ac:dyDescent="0.2">
      <c r="B113" s="31"/>
      <c r="C113" s="31"/>
      <c r="D113" s="13"/>
      <c r="E113" s="13"/>
      <c r="F113" s="13"/>
      <c r="G113" s="13"/>
      <c r="H113" s="13"/>
      <c r="I113" s="13"/>
      <c r="J113" s="13"/>
      <c r="K113" s="13"/>
      <c r="L113" s="13"/>
      <c r="M113" s="13"/>
      <c r="N113" s="21"/>
      <c r="O113" s="21"/>
      <c r="P113" s="21"/>
      <c r="Q113" s="21"/>
      <c r="R113" s="21"/>
      <c r="S113" s="21"/>
      <c r="T113" s="21"/>
      <c r="U113" s="21"/>
      <c r="V113" s="21"/>
      <c r="W113" s="21"/>
      <c r="X113" s="21"/>
      <c r="Y113" s="21"/>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row>
    <row r="114" spans="2:59" x14ac:dyDescent="0.2">
      <c r="B114" s="31"/>
      <c r="C114" s="13"/>
      <c r="D114" s="13"/>
      <c r="E114" s="13"/>
      <c r="F114" s="13"/>
      <c r="G114" s="13"/>
      <c r="H114" s="13"/>
      <c r="I114" s="13"/>
      <c r="J114" s="13"/>
      <c r="K114" s="13"/>
      <c r="L114" s="13"/>
      <c r="M114" s="13"/>
      <c r="N114" s="21"/>
      <c r="O114" s="21"/>
      <c r="P114" s="21"/>
      <c r="Q114" s="21"/>
      <c r="R114" s="21"/>
      <c r="S114" s="21"/>
      <c r="T114" s="21"/>
      <c r="U114" s="21"/>
      <c r="V114" s="21"/>
      <c r="W114" s="21"/>
      <c r="X114" s="21"/>
      <c r="Y114" s="21"/>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row>
    <row r="115" spans="2:59" x14ac:dyDescent="0.2">
      <c r="B115" s="31"/>
      <c r="C115" s="13"/>
      <c r="D115" s="13"/>
      <c r="E115" s="13"/>
      <c r="F115" s="13"/>
      <c r="G115" s="13"/>
      <c r="H115" s="13"/>
      <c r="I115" s="13"/>
      <c r="J115" s="13"/>
      <c r="K115" s="13"/>
      <c r="L115" s="13"/>
      <c r="M115" s="13"/>
      <c r="N115" s="21"/>
      <c r="O115" s="21"/>
      <c r="P115" s="21"/>
      <c r="Q115" s="21"/>
      <c r="R115" s="21"/>
      <c r="S115" s="21"/>
      <c r="T115" s="21"/>
      <c r="U115" s="21"/>
      <c r="V115" s="21"/>
      <c r="W115" s="21"/>
      <c r="X115" s="21"/>
      <c r="Y115" s="21"/>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row>
    <row r="116" spans="2:59" x14ac:dyDescent="0.2">
      <c r="B116" s="31"/>
      <c r="C116" s="13"/>
      <c r="D116" s="13"/>
      <c r="E116" s="13"/>
      <c r="F116" s="13"/>
      <c r="G116" s="13"/>
      <c r="H116" s="13"/>
      <c r="I116" s="13"/>
      <c r="J116" s="13"/>
      <c r="K116" s="13"/>
      <c r="L116" s="13"/>
      <c r="M116" s="13"/>
      <c r="N116" s="21"/>
      <c r="O116" s="21"/>
      <c r="P116" s="21"/>
      <c r="Q116" s="21"/>
      <c r="R116" s="21"/>
      <c r="S116" s="21"/>
      <c r="T116" s="21"/>
      <c r="U116" s="21"/>
      <c r="V116" s="21"/>
      <c r="W116" s="21"/>
      <c r="X116" s="21"/>
      <c r="Y116" s="21"/>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row>
    <row r="117" spans="2:59" x14ac:dyDescent="0.2">
      <c r="B117" s="13"/>
      <c r="C117" s="13"/>
      <c r="D117" s="13"/>
      <c r="E117" s="13"/>
      <c r="F117" s="13"/>
      <c r="G117" s="13"/>
      <c r="H117" s="13"/>
      <c r="I117" s="13"/>
      <c r="J117" s="13"/>
      <c r="K117" s="13"/>
      <c r="L117" s="13"/>
      <c r="M117" s="13"/>
      <c r="N117" s="21"/>
      <c r="O117" s="21"/>
      <c r="P117" s="21"/>
      <c r="Q117" s="21"/>
      <c r="R117" s="21"/>
      <c r="S117" s="21"/>
      <c r="T117" s="21"/>
      <c r="U117" s="21"/>
      <c r="V117" s="21"/>
      <c r="W117" s="21"/>
      <c r="X117" s="21"/>
      <c r="Y117" s="21"/>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row>
    <row r="118" spans="2:59" ht="51" customHeight="1" x14ac:dyDescent="0.2">
      <c r="B118" s="170"/>
      <c r="C118" s="170"/>
      <c r="D118" s="170"/>
      <c r="E118" s="13"/>
      <c r="F118" s="13"/>
      <c r="G118" s="13"/>
      <c r="H118" s="13"/>
      <c r="I118" s="13"/>
      <c r="J118" s="13"/>
      <c r="K118" s="13"/>
      <c r="L118" s="13"/>
      <c r="M118" s="13"/>
      <c r="N118" s="21"/>
      <c r="O118" s="21"/>
      <c r="P118" s="21"/>
      <c r="Q118" s="21"/>
      <c r="R118" s="21"/>
      <c r="S118" s="21"/>
      <c r="T118" s="21"/>
      <c r="U118" s="21"/>
      <c r="V118" s="21"/>
      <c r="W118" s="21"/>
      <c r="X118" s="21"/>
      <c r="Y118" s="21"/>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row>
    <row r="119" spans="2:59" x14ac:dyDescent="0.2">
      <c r="B119" s="171"/>
      <c r="C119" s="171"/>
      <c r="D119" s="171"/>
      <c r="E119" s="13"/>
      <c r="F119" s="13"/>
      <c r="G119" s="13"/>
      <c r="H119" s="13"/>
      <c r="I119" s="13"/>
      <c r="J119" s="13"/>
      <c r="K119" s="13"/>
      <c r="L119" s="13"/>
      <c r="M119" s="13"/>
      <c r="N119" s="21"/>
      <c r="O119" s="21"/>
      <c r="P119" s="21"/>
      <c r="Q119" s="21"/>
      <c r="R119" s="21"/>
      <c r="S119" s="21"/>
      <c r="T119" s="21"/>
      <c r="U119" s="21"/>
      <c r="V119" s="21"/>
      <c r="W119" s="21"/>
      <c r="X119" s="21"/>
      <c r="Y119" s="21"/>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row>
    <row r="120" spans="2:59" x14ac:dyDescent="0.2">
      <c r="B120" s="12"/>
      <c r="C120" s="12"/>
      <c r="D120" s="12"/>
      <c r="E120" s="13"/>
      <c r="F120" s="13"/>
      <c r="G120" s="13"/>
      <c r="H120" s="13"/>
      <c r="I120" s="13"/>
      <c r="J120" s="13"/>
      <c r="K120" s="13"/>
      <c r="L120" s="13"/>
      <c r="M120" s="13"/>
      <c r="N120" s="21"/>
      <c r="O120" s="21"/>
      <c r="P120" s="21"/>
      <c r="Q120" s="21"/>
      <c r="R120" s="21"/>
      <c r="S120" s="21"/>
      <c r="T120" s="21"/>
      <c r="U120" s="21"/>
      <c r="V120" s="21"/>
      <c r="W120" s="21"/>
      <c r="X120" s="21"/>
      <c r="Y120" s="21"/>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row>
    <row r="121" spans="2:59" x14ac:dyDescent="0.2">
      <c r="B121" s="13"/>
      <c r="C121" s="13"/>
      <c r="D121" s="13"/>
      <c r="E121" s="13"/>
      <c r="F121" s="13"/>
      <c r="G121" s="13"/>
      <c r="H121" s="13"/>
      <c r="I121" s="13"/>
      <c r="J121" s="13"/>
      <c r="K121" s="13"/>
      <c r="L121" s="13"/>
      <c r="M121" s="13"/>
      <c r="N121" s="21"/>
      <c r="O121" s="21"/>
      <c r="P121" s="21"/>
      <c r="Q121" s="21"/>
      <c r="R121" s="21"/>
      <c r="S121" s="21"/>
      <c r="T121" s="21"/>
      <c r="U121" s="21"/>
      <c r="V121" s="21"/>
      <c r="W121" s="21"/>
      <c r="X121" s="21"/>
      <c r="Y121" s="21"/>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row>
    <row r="122" spans="2:59" x14ac:dyDescent="0.2">
      <c r="B122" s="13"/>
      <c r="C122" s="13"/>
      <c r="D122" s="13"/>
      <c r="E122" s="13"/>
      <c r="F122" s="13"/>
      <c r="G122" s="13"/>
      <c r="H122" s="13"/>
      <c r="I122" s="13"/>
      <c r="J122" s="13"/>
      <c r="K122" s="13"/>
      <c r="L122" s="13"/>
      <c r="M122" s="13"/>
      <c r="N122" s="21"/>
      <c r="O122" s="21"/>
      <c r="P122" s="21"/>
      <c r="Q122" s="21"/>
      <c r="R122" s="21"/>
      <c r="S122" s="21"/>
      <c r="T122" s="21"/>
      <c r="U122" s="21"/>
      <c r="V122" s="21"/>
      <c r="W122" s="21"/>
      <c r="X122" s="21"/>
      <c r="Y122" s="21"/>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row>
    <row r="123" spans="2:59" x14ac:dyDescent="0.2">
      <c r="B123" s="13"/>
      <c r="C123" s="13"/>
      <c r="D123" s="13"/>
      <c r="E123" s="13"/>
      <c r="F123" s="13"/>
      <c r="G123" s="13"/>
      <c r="H123" s="13"/>
      <c r="I123" s="13"/>
      <c r="J123" s="13"/>
      <c r="K123" s="13"/>
      <c r="L123" s="13"/>
      <c r="M123" s="13"/>
      <c r="N123" s="21"/>
      <c r="O123" s="21"/>
      <c r="P123" s="21"/>
      <c r="Q123" s="21"/>
      <c r="R123" s="21"/>
      <c r="S123" s="21"/>
      <c r="T123" s="21"/>
      <c r="U123" s="21"/>
      <c r="V123" s="21"/>
      <c r="W123" s="21"/>
      <c r="X123" s="21"/>
      <c r="Y123" s="21"/>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row>
    <row r="124" spans="2:59" x14ac:dyDescent="0.2">
      <c r="B124" s="13"/>
      <c r="C124" s="13"/>
      <c r="D124" s="13"/>
      <c r="E124" s="13"/>
      <c r="F124" s="13"/>
      <c r="G124" s="13"/>
      <c r="H124" s="13"/>
      <c r="I124" s="13"/>
      <c r="J124" s="13"/>
      <c r="K124" s="13"/>
      <c r="L124" s="13"/>
      <c r="M124" s="13"/>
      <c r="N124" s="21"/>
      <c r="O124" s="21"/>
      <c r="P124" s="21"/>
      <c r="Q124" s="21"/>
      <c r="R124" s="21"/>
      <c r="S124" s="21"/>
      <c r="T124" s="21"/>
      <c r="U124" s="21"/>
      <c r="V124" s="21"/>
      <c r="W124" s="21"/>
      <c r="X124" s="21"/>
      <c r="Y124" s="21"/>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row>
    <row r="125" spans="2:59" ht="17.25" customHeight="1" x14ac:dyDescent="0.2">
      <c r="B125" s="13"/>
      <c r="C125" s="13"/>
      <c r="D125" s="13"/>
      <c r="E125" s="13"/>
      <c r="F125" s="13"/>
      <c r="G125" s="13"/>
      <c r="H125" s="13"/>
      <c r="I125" s="13"/>
      <c r="J125" s="13"/>
      <c r="K125" s="13"/>
      <c r="L125" s="13"/>
      <c r="M125" s="13"/>
      <c r="N125" s="21"/>
      <c r="O125" s="21"/>
      <c r="P125" s="21"/>
      <c r="Q125" s="21"/>
      <c r="R125" s="21"/>
      <c r="S125" s="21"/>
      <c r="T125" s="21"/>
      <c r="U125" s="21"/>
      <c r="V125" s="21"/>
      <c r="W125" s="21"/>
      <c r="X125" s="21"/>
      <c r="Y125" s="21"/>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row>
    <row r="126" spans="2:59" x14ac:dyDescent="0.2">
      <c r="B126" s="13"/>
      <c r="C126" s="13"/>
      <c r="D126" s="13"/>
      <c r="E126" s="13"/>
      <c r="F126" s="13"/>
      <c r="G126" s="13"/>
      <c r="H126" s="13"/>
      <c r="I126" s="13"/>
      <c r="J126" s="13"/>
      <c r="K126" s="13"/>
      <c r="L126" s="13"/>
      <c r="M126" s="13"/>
      <c r="N126" s="21"/>
      <c r="O126" s="21"/>
      <c r="P126" s="21"/>
      <c r="Q126" s="21"/>
      <c r="R126" s="21"/>
      <c r="S126" s="21"/>
      <c r="T126" s="21"/>
      <c r="U126" s="21"/>
      <c r="V126" s="21"/>
      <c r="W126" s="21"/>
      <c r="X126" s="21"/>
      <c r="Y126" s="21"/>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row>
    <row r="127" spans="2:59" x14ac:dyDescent="0.2">
      <c r="B127" s="13"/>
      <c r="C127" s="13"/>
      <c r="D127" s="13"/>
      <c r="E127" s="13"/>
      <c r="F127" s="13"/>
      <c r="G127" s="13"/>
      <c r="H127" s="13"/>
      <c r="I127" s="13"/>
      <c r="J127" s="13"/>
      <c r="K127" s="13"/>
      <c r="L127" s="13"/>
      <c r="M127" s="13"/>
      <c r="N127" s="21"/>
      <c r="O127" s="21"/>
      <c r="P127" s="21"/>
      <c r="Q127" s="21"/>
      <c r="R127" s="21"/>
      <c r="S127" s="21"/>
      <c r="T127" s="21"/>
      <c r="U127" s="21"/>
      <c r="V127" s="21"/>
      <c r="W127" s="21"/>
      <c r="X127" s="21"/>
      <c r="Y127" s="21"/>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row>
    <row r="128" spans="2:59" x14ac:dyDescent="0.2">
      <c r="B128" s="13"/>
      <c r="C128" s="13"/>
      <c r="D128" s="13"/>
      <c r="E128" s="13"/>
      <c r="F128" s="13"/>
      <c r="G128" s="13"/>
      <c r="H128" s="13"/>
      <c r="I128" s="13"/>
      <c r="J128" s="13"/>
      <c r="K128" s="13"/>
      <c r="L128" s="13"/>
      <c r="M128" s="13"/>
      <c r="N128" s="21"/>
      <c r="O128" s="21"/>
      <c r="P128" s="21"/>
      <c r="Q128" s="21"/>
      <c r="R128" s="21"/>
      <c r="S128" s="21"/>
      <c r="T128" s="21"/>
      <c r="U128" s="21"/>
      <c r="V128" s="21"/>
      <c r="W128" s="21"/>
      <c r="X128" s="21"/>
      <c r="Y128" s="21"/>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row>
    <row r="129" spans="2:59" x14ac:dyDescent="0.2">
      <c r="B129" s="13"/>
      <c r="C129" s="13"/>
      <c r="D129" s="13"/>
      <c r="E129" s="13"/>
      <c r="F129" s="13"/>
      <c r="G129" s="13"/>
      <c r="H129" s="13"/>
      <c r="I129" s="13"/>
      <c r="J129" s="13"/>
      <c r="K129" s="13"/>
      <c r="L129" s="13"/>
      <c r="M129" s="13"/>
      <c r="N129" s="21"/>
      <c r="O129" s="21"/>
      <c r="P129" s="21"/>
      <c r="Q129" s="21"/>
      <c r="R129" s="21"/>
      <c r="S129" s="21"/>
      <c r="T129" s="21"/>
      <c r="U129" s="21"/>
      <c r="V129" s="21"/>
      <c r="W129" s="21"/>
      <c r="X129" s="21"/>
      <c r="Y129" s="21"/>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row>
    <row r="130" spans="2:59" x14ac:dyDescent="0.2">
      <c r="B130" s="13"/>
      <c r="C130" s="13"/>
      <c r="D130" s="13"/>
      <c r="E130" s="13"/>
      <c r="F130" s="13"/>
      <c r="G130" s="13"/>
      <c r="H130" s="13"/>
      <c r="I130" s="13"/>
      <c r="J130" s="13"/>
      <c r="K130" s="13"/>
      <c r="L130" s="13"/>
      <c r="M130" s="13"/>
      <c r="N130" s="21"/>
      <c r="O130" s="21"/>
      <c r="P130" s="21"/>
      <c r="Q130" s="21"/>
      <c r="R130" s="21"/>
      <c r="S130" s="21"/>
      <c r="T130" s="21"/>
      <c r="U130" s="21"/>
      <c r="V130" s="21"/>
      <c r="W130" s="21"/>
      <c r="X130" s="21"/>
      <c r="Y130" s="21"/>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row>
    <row r="131" spans="2:59" x14ac:dyDescent="0.2">
      <c r="B131" s="13"/>
      <c r="C131" s="13"/>
      <c r="D131" s="13"/>
      <c r="E131" s="13"/>
      <c r="F131" s="13"/>
      <c r="G131" s="13"/>
      <c r="H131" s="13"/>
      <c r="I131" s="13"/>
      <c r="J131" s="13"/>
      <c r="K131" s="13"/>
      <c r="L131" s="13"/>
      <c r="M131" s="13"/>
      <c r="N131" s="21"/>
      <c r="O131" s="21"/>
      <c r="P131" s="21"/>
      <c r="Q131" s="21"/>
      <c r="R131" s="21"/>
      <c r="S131" s="21"/>
      <c r="T131" s="21"/>
      <c r="U131" s="21"/>
      <c r="V131" s="21"/>
      <c r="W131" s="21"/>
      <c r="X131" s="21"/>
      <c r="Y131" s="21"/>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row>
    <row r="132" spans="2:59" x14ac:dyDescent="0.2">
      <c r="B132" s="13"/>
      <c r="C132" s="13"/>
      <c r="D132" s="13"/>
      <c r="E132" s="13"/>
      <c r="F132" s="13"/>
      <c r="G132" s="13"/>
      <c r="H132" s="13"/>
      <c r="I132" s="13"/>
      <c r="J132" s="13"/>
      <c r="K132" s="13"/>
      <c r="L132" s="13"/>
      <c r="M132" s="13"/>
      <c r="N132" s="21"/>
      <c r="O132" s="21"/>
      <c r="P132" s="21"/>
      <c r="Q132" s="21"/>
      <c r="R132" s="21"/>
      <c r="S132" s="21"/>
      <c r="T132" s="21"/>
      <c r="U132" s="21"/>
      <c r="V132" s="21"/>
      <c r="W132" s="21"/>
      <c r="X132" s="21"/>
      <c r="Y132" s="21"/>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row>
    <row r="133" spans="2:59" x14ac:dyDescent="0.2">
      <c r="B133" s="13"/>
      <c r="C133" s="13"/>
      <c r="D133" s="13"/>
      <c r="E133" s="13"/>
      <c r="F133" s="13"/>
      <c r="G133" s="13"/>
      <c r="H133" s="13"/>
      <c r="I133" s="13"/>
      <c r="J133" s="13"/>
      <c r="K133" s="13"/>
      <c r="L133" s="13"/>
      <c r="M133" s="13"/>
      <c r="N133" s="21"/>
      <c r="O133" s="21"/>
      <c r="P133" s="21"/>
      <c r="Q133" s="21"/>
      <c r="R133" s="21"/>
      <c r="S133" s="21"/>
      <c r="T133" s="21"/>
      <c r="U133" s="21"/>
      <c r="V133" s="21"/>
      <c r="W133" s="21"/>
      <c r="X133" s="21"/>
      <c r="Y133" s="21"/>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row>
    <row r="134" spans="2:59" x14ac:dyDescent="0.2">
      <c r="B134" s="13"/>
      <c r="C134" s="13"/>
      <c r="D134" s="13"/>
      <c r="E134" s="13"/>
      <c r="F134" s="13"/>
      <c r="G134" s="13"/>
      <c r="H134" s="13"/>
      <c r="I134" s="13"/>
      <c r="J134" s="13"/>
      <c r="K134" s="13"/>
      <c r="L134" s="13"/>
      <c r="M134" s="13"/>
      <c r="N134" s="21"/>
      <c r="O134" s="21"/>
      <c r="P134" s="21"/>
      <c r="Q134" s="21"/>
      <c r="R134" s="21"/>
      <c r="S134" s="21"/>
      <c r="T134" s="21"/>
      <c r="U134" s="21"/>
      <c r="V134" s="21"/>
      <c r="W134" s="21"/>
      <c r="X134" s="21"/>
      <c r="Y134" s="21"/>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row>
    <row r="135" spans="2:59" x14ac:dyDescent="0.2">
      <c r="B135" s="13"/>
      <c r="C135" s="13"/>
      <c r="D135" s="13"/>
      <c r="E135" s="13"/>
      <c r="F135" s="13"/>
      <c r="G135" s="13"/>
      <c r="H135" s="13"/>
      <c r="I135" s="13"/>
      <c r="J135" s="13"/>
      <c r="K135" s="13"/>
      <c r="L135" s="13"/>
      <c r="M135" s="13"/>
      <c r="N135" s="21"/>
      <c r="O135" s="21"/>
      <c r="P135" s="21"/>
      <c r="Q135" s="21"/>
      <c r="R135" s="21"/>
      <c r="S135" s="21"/>
      <c r="T135" s="21"/>
      <c r="U135" s="21"/>
      <c r="V135" s="21"/>
      <c r="W135" s="21"/>
      <c r="X135" s="21"/>
      <c r="Y135" s="21"/>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row>
    <row r="136" spans="2:59" x14ac:dyDescent="0.2">
      <c r="B136" s="13"/>
      <c r="C136" s="13"/>
      <c r="D136" s="13"/>
      <c r="E136" s="13"/>
      <c r="F136" s="13"/>
      <c r="G136" s="13"/>
      <c r="H136" s="13"/>
      <c r="I136" s="13"/>
      <c r="J136" s="13"/>
      <c r="K136" s="13"/>
      <c r="L136" s="13"/>
      <c r="M136" s="13"/>
      <c r="N136" s="21"/>
      <c r="O136" s="21"/>
      <c r="P136" s="21"/>
      <c r="Q136" s="21"/>
      <c r="R136" s="21"/>
      <c r="S136" s="21"/>
      <c r="T136" s="21"/>
      <c r="U136" s="21"/>
      <c r="V136" s="21"/>
      <c r="W136" s="21"/>
      <c r="X136" s="21"/>
      <c r="Y136" s="21"/>
      <c r="Z136" s="13"/>
      <c r="AA136" s="13"/>
    </row>
  </sheetData>
  <mergeCells count="6">
    <mergeCell ref="B118:D118"/>
    <mergeCell ref="B119:D119"/>
    <mergeCell ref="B86:C86"/>
    <mergeCell ref="B87:C87"/>
    <mergeCell ref="B84:C84"/>
    <mergeCell ref="B89:B9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36"/>
  <sheetViews>
    <sheetView showGridLines="0" workbookViewId="0">
      <pane xSplit="2" ySplit="9" topLeftCell="C39" activePane="bottomRight" state="frozen"/>
      <selection pane="topRight" activeCell="B1" sqref="B1"/>
      <selection pane="bottomLeft" activeCell="A10" sqref="A10"/>
      <selection pane="bottomRight" activeCell="H74" sqref="H74"/>
    </sheetView>
  </sheetViews>
  <sheetFormatPr defaultColWidth="9.140625" defaultRowHeight="12.75" x14ac:dyDescent="0.2"/>
  <cols>
    <col min="1" max="1" width="8.85546875" customWidth="1"/>
    <col min="2" max="2" width="36.7109375" customWidth="1"/>
    <col min="3" max="4" width="9" style="11" customWidth="1"/>
    <col min="5" max="5" width="23.42578125" customWidth="1"/>
    <col min="6" max="6" width="26.140625" customWidth="1"/>
  </cols>
  <sheetData>
    <row r="1" spans="1:38" x14ac:dyDescent="0.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x14ac:dyDescent="0.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38" ht="20.25" x14ac:dyDescent="0.3">
      <c r="A3" s="37" t="s">
        <v>97</v>
      </c>
      <c r="B3" s="37"/>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15" customHeight="1" x14ac:dyDescent="0.2">
      <c r="A4" s="49" t="s">
        <v>113</v>
      </c>
      <c r="B4" s="49"/>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ht="15" customHeight="1" x14ac:dyDescent="0.2">
      <c r="A5" s="50" t="s">
        <v>114</v>
      </c>
      <c r="B5" s="50"/>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ht="15" customHeight="1" x14ac:dyDescent="0.25">
      <c r="A6" s="47" t="s">
        <v>140</v>
      </c>
      <c r="B6" s="47"/>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ht="15" customHeight="1" x14ac:dyDescent="0.2">
      <c r="B7" s="15"/>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ht="15.75" x14ac:dyDescent="0.25">
      <c r="B8" s="58"/>
      <c r="C8" s="59">
        <v>43983</v>
      </c>
      <c r="D8" s="59">
        <v>44348</v>
      </c>
      <c r="E8" s="60" t="s">
        <v>95</v>
      </c>
      <c r="F8" s="60" t="s">
        <v>141</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s="32" customFormat="1" ht="15.75" x14ac:dyDescent="0.25">
      <c r="A9" s="57"/>
      <c r="B9" s="125" t="s">
        <v>4</v>
      </c>
      <c r="C9" s="61"/>
      <c r="D9" s="61"/>
      <c r="E9" s="61"/>
      <c r="F9" s="61"/>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row>
    <row r="10" spans="1:38" ht="15" x14ac:dyDescent="0.2">
      <c r="B10" s="62" t="s">
        <v>40</v>
      </c>
      <c r="C10" s="53">
        <v>696</v>
      </c>
      <c r="D10" s="53">
        <v>682</v>
      </c>
      <c r="E10" s="53">
        <f>D10-C10</f>
        <v>-14</v>
      </c>
      <c r="F10" s="55">
        <f>D10/C10-1</f>
        <v>-2.011494252873558E-2</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ht="15" x14ac:dyDescent="0.2">
      <c r="B11" s="63" t="s">
        <v>41</v>
      </c>
      <c r="C11" s="71">
        <v>43</v>
      </c>
      <c r="D11" s="70">
        <v>41</v>
      </c>
      <c r="E11" s="70">
        <f t="shared" ref="E11:E74" si="0">D11-C11</f>
        <v>-2</v>
      </c>
      <c r="F11" s="72">
        <f t="shared" ref="F11:F74" si="1">D11/C11-1</f>
        <v>-4.6511627906976716E-2</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5" x14ac:dyDescent="0.2">
      <c r="B12" s="62" t="s">
        <v>42</v>
      </c>
      <c r="C12" s="53">
        <v>31</v>
      </c>
      <c r="D12" s="53">
        <v>31</v>
      </c>
      <c r="E12" s="53">
        <f t="shared" si="0"/>
        <v>0</v>
      </c>
      <c r="F12" s="55">
        <f t="shared" si="1"/>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ht="15" x14ac:dyDescent="0.2">
      <c r="B13" s="63" t="s">
        <v>43</v>
      </c>
      <c r="C13" s="71">
        <v>416</v>
      </c>
      <c r="D13" s="70">
        <v>410</v>
      </c>
      <c r="E13" s="70">
        <f t="shared" si="0"/>
        <v>-6</v>
      </c>
      <c r="F13" s="72">
        <f t="shared" si="1"/>
        <v>-1.4423076923076872E-2</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ht="15" x14ac:dyDescent="0.2">
      <c r="B14" s="62" t="s">
        <v>39</v>
      </c>
      <c r="C14" s="53">
        <v>17</v>
      </c>
      <c r="D14" s="53">
        <v>16</v>
      </c>
      <c r="E14" s="53">
        <f t="shared" si="0"/>
        <v>-1</v>
      </c>
      <c r="F14" s="55">
        <f t="shared" si="1"/>
        <v>-5.8823529411764719E-2</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ht="15" x14ac:dyDescent="0.2">
      <c r="B15" s="63" t="s">
        <v>44</v>
      </c>
      <c r="C15" s="71">
        <v>46</v>
      </c>
      <c r="D15" s="70">
        <v>44</v>
      </c>
      <c r="E15" s="70">
        <f t="shared" si="0"/>
        <v>-2</v>
      </c>
      <c r="F15" s="72">
        <f t="shared" si="1"/>
        <v>-4.3478260869565188E-2</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ht="15" x14ac:dyDescent="0.2">
      <c r="B16" s="62" t="s">
        <v>45</v>
      </c>
      <c r="C16" s="53">
        <v>9</v>
      </c>
      <c r="D16" s="53">
        <v>9</v>
      </c>
      <c r="E16" s="53">
        <f t="shared" si="0"/>
        <v>0</v>
      </c>
      <c r="F16" s="55">
        <f t="shared" si="1"/>
        <v>0</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8" s="67" customFormat="1" ht="15.75" x14ac:dyDescent="0.25">
      <c r="B17" s="64" t="s">
        <v>3</v>
      </c>
      <c r="C17" s="74">
        <v>1258</v>
      </c>
      <c r="D17" s="73">
        <v>1233</v>
      </c>
      <c r="E17" s="73">
        <f t="shared" si="0"/>
        <v>-25</v>
      </c>
      <c r="F17" s="75">
        <f t="shared" si="1"/>
        <v>-1.9872813990461036E-2</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row>
    <row r="18" spans="1:38" s="32" customFormat="1" ht="15.75" x14ac:dyDescent="0.25">
      <c r="A18" s="57"/>
      <c r="B18" s="125" t="s">
        <v>5</v>
      </c>
      <c r="C18" s="76"/>
      <c r="D18" s="76"/>
      <c r="E18" s="76">
        <f t="shared" si="0"/>
        <v>0</v>
      </c>
      <c r="F18" s="76" t="e">
        <f t="shared" si="1"/>
        <v>#DIV/0!</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row>
    <row r="19" spans="1:38" ht="15" x14ac:dyDescent="0.2">
      <c r="B19" s="62" t="s">
        <v>46</v>
      </c>
      <c r="C19" s="53">
        <v>474</v>
      </c>
      <c r="D19" s="53">
        <v>464</v>
      </c>
      <c r="E19" s="53">
        <f t="shared" si="0"/>
        <v>-10</v>
      </c>
      <c r="F19" s="55">
        <f t="shared" si="1"/>
        <v>-2.1097046413502074E-2</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row>
    <row r="20" spans="1:38" ht="15" x14ac:dyDescent="0.2">
      <c r="B20" s="63" t="s">
        <v>47</v>
      </c>
      <c r="C20" s="71">
        <v>34</v>
      </c>
      <c r="D20" s="70">
        <v>33</v>
      </c>
      <c r="E20" s="70">
        <f t="shared" si="0"/>
        <v>-1</v>
      </c>
      <c r="F20" s="72">
        <f t="shared" si="1"/>
        <v>-2.9411764705882359E-2</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row>
    <row r="21" spans="1:38" ht="15" x14ac:dyDescent="0.2">
      <c r="B21" s="62" t="s">
        <v>48</v>
      </c>
      <c r="C21" s="53">
        <v>467</v>
      </c>
      <c r="D21" s="53">
        <v>455</v>
      </c>
      <c r="E21" s="53">
        <f t="shared" si="0"/>
        <v>-12</v>
      </c>
      <c r="F21" s="55">
        <f t="shared" si="1"/>
        <v>-2.5695931477516032E-2</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38" ht="15" x14ac:dyDescent="0.2">
      <c r="B22" s="63" t="s">
        <v>49</v>
      </c>
      <c r="C22" s="71">
        <v>5</v>
      </c>
      <c r="D22" s="70">
        <v>5</v>
      </c>
      <c r="E22" s="70">
        <f t="shared" si="0"/>
        <v>0</v>
      </c>
      <c r="F22" s="72">
        <f t="shared" si="1"/>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row>
    <row r="23" spans="1:38" ht="15" x14ac:dyDescent="0.2">
      <c r="B23" s="62" t="s">
        <v>50</v>
      </c>
      <c r="C23" s="53">
        <v>80</v>
      </c>
      <c r="D23" s="53">
        <v>76</v>
      </c>
      <c r="E23" s="53">
        <f t="shared" si="0"/>
        <v>-4</v>
      </c>
      <c r="F23" s="55">
        <f t="shared" si="1"/>
        <v>-5.0000000000000044E-2</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row>
    <row r="24" spans="1:38" ht="15" x14ac:dyDescent="0.2">
      <c r="B24" s="63" t="s">
        <v>51</v>
      </c>
      <c r="C24" s="71">
        <v>284</v>
      </c>
      <c r="D24" s="70">
        <v>282</v>
      </c>
      <c r="E24" s="70">
        <f t="shared" si="0"/>
        <v>-2</v>
      </c>
      <c r="F24" s="72">
        <f t="shared" si="1"/>
        <v>-7.0422535211267512E-3</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ht="15" x14ac:dyDescent="0.2">
      <c r="B25" s="62" t="s">
        <v>52</v>
      </c>
      <c r="C25" s="53">
        <v>446</v>
      </c>
      <c r="D25" s="53">
        <v>433</v>
      </c>
      <c r="E25" s="53">
        <f t="shared" si="0"/>
        <v>-13</v>
      </c>
      <c r="F25" s="55">
        <f t="shared" si="1"/>
        <v>-2.9147982062780242E-2</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row>
    <row r="26" spans="1:38" s="67" customFormat="1" ht="15.75" x14ac:dyDescent="0.25">
      <c r="B26" s="64" t="s">
        <v>3</v>
      </c>
      <c r="C26" s="74">
        <v>1790</v>
      </c>
      <c r="D26" s="73">
        <v>1748</v>
      </c>
      <c r="E26" s="73">
        <f t="shared" si="0"/>
        <v>-42</v>
      </c>
      <c r="F26" s="75">
        <f t="shared" si="1"/>
        <v>-2.346368715083802E-2</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row>
    <row r="27" spans="1:38" s="32" customFormat="1" ht="15.75" x14ac:dyDescent="0.25">
      <c r="A27" s="57"/>
      <c r="B27" s="125" t="s">
        <v>6</v>
      </c>
      <c r="C27" s="76"/>
      <c r="D27" s="76"/>
      <c r="E27" s="76"/>
      <c r="F27" s="76"/>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38" ht="15" x14ac:dyDescent="0.2">
      <c r="B28" s="62" t="s">
        <v>53</v>
      </c>
      <c r="C28" s="53">
        <v>28</v>
      </c>
      <c r="D28" s="53">
        <v>28</v>
      </c>
      <c r="E28" s="53">
        <f t="shared" si="0"/>
        <v>0</v>
      </c>
      <c r="F28" s="55">
        <f t="shared" si="1"/>
        <v>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row>
    <row r="29" spans="1:38" ht="15" x14ac:dyDescent="0.2">
      <c r="B29" s="63" t="s">
        <v>54</v>
      </c>
      <c r="C29" s="71">
        <v>7</v>
      </c>
      <c r="D29" s="70">
        <v>7</v>
      </c>
      <c r="E29" s="70">
        <f t="shared" si="0"/>
        <v>0</v>
      </c>
      <c r="F29" s="72">
        <f t="shared" si="1"/>
        <v>0</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1:38" ht="15" x14ac:dyDescent="0.2">
      <c r="B30" s="62" t="s">
        <v>55</v>
      </c>
      <c r="C30" s="53">
        <v>35</v>
      </c>
      <c r="D30" s="53">
        <v>33</v>
      </c>
      <c r="E30" s="53">
        <f t="shared" si="0"/>
        <v>-2</v>
      </c>
      <c r="F30" s="55">
        <f t="shared" si="1"/>
        <v>-5.7142857142857162E-2</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8" ht="15" x14ac:dyDescent="0.2">
      <c r="B31" s="63" t="s">
        <v>56</v>
      </c>
      <c r="C31" s="71">
        <v>22</v>
      </c>
      <c r="D31" s="70">
        <v>18</v>
      </c>
      <c r="E31" s="70">
        <f t="shared" si="0"/>
        <v>-4</v>
      </c>
      <c r="F31" s="72">
        <f t="shared" si="1"/>
        <v>-0.18181818181818177</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s="67" customFormat="1" ht="15.75" x14ac:dyDescent="0.25">
      <c r="B32" s="65" t="s">
        <v>3</v>
      </c>
      <c r="C32" s="77">
        <v>92</v>
      </c>
      <c r="D32" s="77">
        <v>86</v>
      </c>
      <c r="E32" s="77">
        <f t="shared" si="0"/>
        <v>-6</v>
      </c>
      <c r="F32" s="79">
        <f t="shared" si="1"/>
        <v>-6.5217391304347783E-2</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row>
    <row r="33" spans="1:38" s="32" customFormat="1" ht="15.75" x14ac:dyDescent="0.25">
      <c r="A33" s="57"/>
      <c r="B33" s="125" t="s">
        <v>7</v>
      </c>
      <c r="C33" s="76"/>
      <c r="D33" s="76"/>
      <c r="E33" s="76"/>
      <c r="F33" s="76"/>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38" ht="15" x14ac:dyDescent="0.2">
      <c r="B34" s="62" t="s">
        <v>57</v>
      </c>
      <c r="C34" s="53">
        <v>8</v>
      </c>
      <c r="D34" s="53">
        <v>8</v>
      </c>
      <c r="E34" s="53">
        <f t="shared" si="0"/>
        <v>0</v>
      </c>
      <c r="F34" s="55">
        <f t="shared" si="1"/>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row>
    <row r="35" spans="1:38" ht="15" x14ac:dyDescent="0.2">
      <c r="B35" s="63" t="s">
        <v>88</v>
      </c>
      <c r="C35" s="71">
        <v>122</v>
      </c>
      <c r="D35" s="70">
        <v>110</v>
      </c>
      <c r="E35" s="70">
        <f t="shared" si="0"/>
        <v>-12</v>
      </c>
      <c r="F35" s="72">
        <f t="shared" si="1"/>
        <v>-9.8360655737704916E-2</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ht="15" x14ac:dyDescent="0.2">
      <c r="B36" s="62" t="s">
        <v>58</v>
      </c>
      <c r="C36" s="53">
        <v>16</v>
      </c>
      <c r="D36" s="53">
        <v>14</v>
      </c>
      <c r="E36" s="53">
        <f t="shared" si="0"/>
        <v>-2</v>
      </c>
      <c r="F36" s="55">
        <f t="shared" si="1"/>
        <v>-0.125</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row>
    <row r="37" spans="1:38" ht="15" x14ac:dyDescent="0.2">
      <c r="B37" s="63" t="s">
        <v>59</v>
      </c>
      <c r="C37" s="71">
        <v>44</v>
      </c>
      <c r="D37" s="70">
        <v>43</v>
      </c>
      <c r="E37" s="70">
        <f t="shared" si="0"/>
        <v>-1</v>
      </c>
      <c r="F37" s="72">
        <f t="shared" si="1"/>
        <v>-2.2727272727272707E-2</v>
      </c>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row>
    <row r="38" spans="1:38" ht="15" x14ac:dyDescent="0.2">
      <c r="B38" s="62" t="s">
        <v>60</v>
      </c>
      <c r="C38" s="53">
        <v>54</v>
      </c>
      <c r="D38" s="53">
        <v>48</v>
      </c>
      <c r="E38" s="53">
        <f t="shared" si="0"/>
        <v>-6</v>
      </c>
      <c r="F38" s="55">
        <f t="shared" si="1"/>
        <v>-0.11111111111111116</v>
      </c>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1:38" ht="15" x14ac:dyDescent="0.2">
      <c r="B39" s="63" t="s">
        <v>61</v>
      </c>
      <c r="C39" s="71">
        <v>11</v>
      </c>
      <c r="D39" s="70">
        <v>10</v>
      </c>
      <c r="E39" s="70">
        <f t="shared" si="0"/>
        <v>-1</v>
      </c>
      <c r="F39" s="72">
        <f t="shared" si="1"/>
        <v>-9.0909090909090939E-2</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ht="15" x14ac:dyDescent="0.2">
      <c r="B40" s="62" t="s">
        <v>62</v>
      </c>
      <c r="C40" s="53">
        <v>174</v>
      </c>
      <c r="D40" s="53">
        <v>173</v>
      </c>
      <c r="E40" s="53">
        <f t="shared" si="0"/>
        <v>-1</v>
      </c>
      <c r="F40" s="55">
        <f t="shared" si="1"/>
        <v>-5.7471264367816577E-3</v>
      </c>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row>
    <row r="41" spans="1:38" ht="15" x14ac:dyDescent="0.2">
      <c r="B41" s="63" t="s">
        <v>63</v>
      </c>
      <c r="C41" s="71">
        <v>145</v>
      </c>
      <c r="D41" s="70">
        <v>141</v>
      </c>
      <c r="E41" s="70">
        <f t="shared" si="0"/>
        <v>-4</v>
      </c>
      <c r="F41" s="72">
        <f t="shared" si="1"/>
        <v>-2.7586206896551779E-2</v>
      </c>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row>
    <row r="42" spans="1:38" ht="15" x14ac:dyDescent="0.2">
      <c r="B42" s="62" t="s">
        <v>64</v>
      </c>
      <c r="C42" s="53">
        <v>353</v>
      </c>
      <c r="D42" s="53">
        <v>340</v>
      </c>
      <c r="E42" s="53">
        <f t="shared" si="0"/>
        <v>-13</v>
      </c>
      <c r="F42" s="55">
        <f t="shared" si="1"/>
        <v>-3.682719546742208E-2</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row>
    <row r="43" spans="1:38" s="67" customFormat="1" ht="15.75" x14ac:dyDescent="0.25">
      <c r="B43" s="64" t="s">
        <v>3</v>
      </c>
      <c r="C43" s="74">
        <v>927</v>
      </c>
      <c r="D43" s="73">
        <v>887</v>
      </c>
      <c r="E43" s="73">
        <f t="shared" si="0"/>
        <v>-40</v>
      </c>
      <c r="F43" s="75">
        <f t="shared" si="1"/>
        <v>-4.314994606256739E-2</v>
      </c>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row>
    <row r="44" spans="1:38" s="32" customFormat="1" ht="15.75" x14ac:dyDescent="0.25">
      <c r="A44" s="57"/>
      <c r="B44" s="125" t="s">
        <v>8</v>
      </c>
      <c r="C44" s="76"/>
      <c r="D44" s="76"/>
      <c r="E44" s="76"/>
      <c r="F44" s="76"/>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ht="15" x14ac:dyDescent="0.2">
      <c r="B45" s="62" t="s">
        <v>65</v>
      </c>
      <c r="C45" s="53">
        <v>14</v>
      </c>
      <c r="D45" s="53">
        <v>13</v>
      </c>
      <c r="E45" s="53">
        <f t="shared" si="0"/>
        <v>-1</v>
      </c>
      <c r="F45" s="55">
        <f t="shared" si="1"/>
        <v>-7.1428571428571397E-2</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row>
    <row r="46" spans="1:38" ht="15" x14ac:dyDescent="0.2">
      <c r="B46" s="63" t="s">
        <v>66</v>
      </c>
      <c r="C46" s="71">
        <v>31</v>
      </c>
      <c r="D46" s="70">
        <v>27</v>
      </c>
      <c r="E46" s="70">
        <f t="shared" si="0"/>
        <v>-4</v>
      </c>
      <c r="F46" s="72">
        <f t="shared" si="1"/>
        <v>-0.12903225806451613</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1:38" ht="15" x14ac:dyDescent="0.2">
      <c r="B47" s="62" t="s">
        <v>67</v>
      </c>
      <c r="C47" s="53">
        <v>71</v>
      </c>
      <c r="D47" s="53">
        <v>65</v>
      </c>
      <c r="E47" s="53">
        <f t="shared" si="0"/>
        <v>-6</v>
      </c>
      <c r="F47" s="55">
        <f t="shared" si="1"/>
        <v>-8.4507042253521125E-2</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row>
    <row r="48" spans="1:38" ht="15" x14ac:dyDescent="0.2">
      <c r="B48" s="63" t="s">
        <v>68</v>
      </c>
      <c r="C48" s="71">
        <v>12</v>
      </c>
      <c r="D48" s="70">
        <v>12</v>
      </c>
      <c r="E48" s="70">
        <f t="shared" si="0"/>
        <v>0</v>
      </c>
      <c r="F48" s="72">
        <f t="shared" si="1"/>
        <v>0</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2:38" ht="15" x14ac:dyDescent="0.2">
      <c r="B49" s="62" t="s">
        <v>69</v>
      </c>
      <c r="C49" s="53">
        <v>38</v>
      </c>
      <c r="D49" s="53">
        <v>38</v>
      </c>
      <c r="E49" s="53">
        <f t="shared" si="0"/>
        <v>0</v>
      </c>
      <c r="F49" s="55">
        <f t="shared" si="1"/>
        <v>0</v>
      </c>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row>
    <row r="50" spans="2:38" s="67" customFormat="1" ht="15.75" x14ac:dyDescent="0.25">
      <c r="B50" s="64" t="s">
        <v>3</v>
      </c>
      <c r="C50" s="74">
        <v>166</v>
      </c>
      <c r="D50" s="73">
        <v>155</v>
      </c>
      <c r="E50" s="73">
        <f t="shared" si="0"/>
        <v>-11</v>
      </c>
      <c r="F50" s="75">
        <f t="shared" si="1"/>
        <v>-6.6265060240963902E-2</v>
      </c>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ht="15.75" x14ac:dyDescent="0.25">
      <c r="B51" s="126" t="s">
        <v>9</v>
      </c>
      <c r="C51" s="80"/>
      <c r="D51" s="80"/>
      <c r="E51" s="80"/>
      <c r="F51" s="81"/>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2:38" ht="15" x14ac:dyDescent="0.2">
      <c r="B52" s="62" t="s">
        <v>70</v>
      </c>
      <c r="C52" s="53">
        <v>326</v>
      </c>
      <c r="D52" s="53">
        <v>311</v>
      </c>
      <c r="E52" s="53">
        <f t="shared" si="0"/>
        <v>-15</v>
      </c>
      <c r="F52" s="55">
        <f t="shared" si="1"/>
        <v>-4.6012269938650263E-2</v>
      </c>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2:38" ht="15" x14ac:dyDescent="0.2">
      <c r="B53" s="63" t="s">
        <v>81</v>
      </c>
      <c r="C53" s="71">
        <v>0</v>
      </c>
      <c r="D53" s="70">
        <v>0</v>
      </c>
      <c r="E53" s="70">
        <f t="shared" si="0"/>
        <v>0</v>
      </c>
      <c r="F53" s="72"/>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2:38" ht="15" x14ac:dyDescent="0.2">
      <c r="B54" s="62" t="s">
        <v>71</v>
      </c>
      <c r="C54" s="53">
        <v>563</v>
      </c>
      <c r="D54" s="53">
        <v>549</v>
      </c>
      <c r="E54" s="53">
        <f t="shared" si="0"/>
        <v>-14</v>
      </c>
      <c r="F54" s="55">
        <f t="shared" si="1"/>
        <v>-2.4866785079928899E-2</v>
      </c>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2:38" ht="15" x14ac:dyDescent="0.2">
      <c r="B55" s="63" t="s">
        <v>72</v>
      </c>
      <c r="C55" s="71">
        <v>213</v>
      </c>
      <c r="D55" s="70">
        <v>209</v>
      </c>
      <c r="E55" s="70">
        <f t="shared" si="0"/>
        <v>-4</v>
      </c>
      <c r="F55" s="72">
        <f t="shared" si="1"/>
        <v>-1.8779342723004744E-2</v>
      </c>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2:38" s="67" customFormat="1" ht="15.75" x14ac:dyDescent="0.25">
      <c r="B56" s="65" t="s">
        <v>3</v>
      </c>
      <c r="C56" s="77">
        <v>1102</v>
      </c>
      <c r="D56" s="77">
        <v>1069</v>
      </c>
      <c r="E56" s="77">
        <f t="shared" si="0"/>
        <v>-33</v>
      </c>
      <c r="F56" s="79">
        <f t="shared" si="1"/>
        <v>-2.9945553539019953E-2</v>
      </c>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row>
    <row r="57" spans="2:38" ht="15.75" x14ac:dyDescent="0.25">
      <c r="B57" s="126" t="s">
        <v>10</v>
      </c>
      <c r="C57" s="80"/>
      <c r="D57" s="80"/>
      <c r="E57" s="80"/>
      <c r="F57" s="81"/>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2:38" ht="15" x14ac:dyDescent="0.2">
      <c r="B58" s="62" t="s">
        <v>73</v>
      </c>
      <c r="C58" s="53">
        <v>866</v>
      </c>
      <c r="D58" s="53">
        <v>846</v>
      </c>
      <c r="E58" s="53">
        <f t="shared" si="0"/>
        <v>-20</v>
      </c>
      <c r="F58" s="55">
        <f t="shared" si="1"/>
        <v>-2.3094688221709014E-2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row>
    <row r="59" spans="2:38" ht="15" x14ac:dyDescent="0.2">
      <c r="B59" s="63" t="s">
        <v>74</v>
      </c>
      <c r="C59" s="71">
        <v>435</v>
      </c>
      <c r="D59" s="70">
        <v>422</v>
      </c>
      <c r="E59" s="70">
        <f t="shared" si="0"/>
        <v>-13</v>
      </c>
      <c r="F59" s="72">
        <f t="shared" si="1"/>
        <v>-2.9885057471264354E-2</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row>
    <row r="60" spans="2:38" s="67" customFormat="1" ht="15.75" x14ac:dyDescent="0.25">
      <c r="B60" s="65" t="s">
        <v>3</v>
      </c>
      <c r="C60" s="77">
        <v>1301</v>
      </c>
      <c r="D60" s="77">
        <v>1268</v>
      </c>
      <c r="E60" s="77">
        <f t="shared" si="0"/>
        <v>-33</v>
      </c>
      <c r="F60" s="79">
        <f t="shared" si="1"/>
        <v>-2.5365103766333608E-2</v>
      </c>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row r="61" spans="2:38" ht="15.75" x14ac:dyDescent="0.25">
      <c r="B61" s="126" t="s">
        <v>11</v>
      </c>
      <c r="C61" s="80"/>
      <c r="D61" s="80"/>
      <c r="E61" s="80"/>
      <c r="F61" s="81"/>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row>
    <row r="62" spans="2:38" ht="15" x14ac:dyDescent="0.2">
      <c r="B62" s="62" t="s">
        <v>75</v>
      </c>
      <c r="C62" s="53">
        <v>13</v>
      </c>
      <c r="D62" s="53">
        <v>13</v>
      </c>
      <c r="E62" s="53">
        <f t="shared" si="0"/>
        <v>0</v>
      </c>
      <c r="F62" s="55">
        <f t="shared" si="1"/>
        <v>0</v>
      </c>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row r="63" spans="2:38" ht="15" x14ac:dyDescent="0.2">
      <c r="B63" s="63" t="s">
        <v>76</v>
      </c>
      <c r="C63" s="71">
        <v>10</v>
      </c>
      <c r="D63" s="70">
        <v>10</v>
      </c>
      <c r="E63" s="70">
        <f t="shared" si="0"/>
        <v>0</v>
      </c>
      <c r="F63" s="72">
        <f t="shared" si="1"/>
        <v>0</v>
      </c>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row>
    <row r="64" spans="2:38" ht="15" x14ac:dyDescent="0.2">
      <c r="B64" s="62" t="s">
        <v>77</v>
      </c>
      <c r="C64" s="53">
        <v>55</v>
      </c>
      <c r="D64" s="53">
        <v>54</v>
      </c>
      <c r="E64" s="53">
        <f t="shared" si="0"/>
        <v>-1</v>
      </c>
      <c r="F64" s="55">
        <f t="shared" si="1"/>
        <v>-1.8181818181818188E-2</v>
      </c>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row>
    <row r="65" spans="2:38" ht="15" x14ac:dyDescent="0.2">
      <c r="B65" s="63" t="s">
        <v>78</v>
      </c>
      <c r="C65" s="71">
        <v>22</v>
      </c>
      <c r="D65" s="70">
        <v>21</v>
      </c>
      <c r="E65" s="70">
        <f t="shared" si="0"/>
        <v>-1</v>
      </c>
      <c r="F65" s="72">
        <f t="shared" si="1"/>
        <v>-4.5454545454545414E-2</v>
      </c>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row>
    <row r="66" spans="2:38" ht="15" x14ac:dyDescent="0.2">
      <c r="B66" s="62" t="s">
        <v>79</v>
      </c>
      <c r="C66" s="53">
        <v>46</v>
      </c>
      <c r="D66" s="53">
        <v>43</v>
      </c>
      <c r="E66" s="53">
        <f t="shared" si="0"/>
        <v>-3</v>
      </c>
      <c r="F66" s="55">
        <f t="shared" si="1"/>
        <v>-6.5217391304347783E-2</v>
      </c>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row>
    <row r="67" spans="2:38" ht="15" x14ac:dyDescent="0.2">
      <c r="B67" s="63" t="s">
        <v>80</v>
      </c>
      <c r="C67" s="71">
        <v>49</v>
      </c>
      <c r="D67" s="70">
        <v>41</v>
      </c>
      <c r="E67" s="70">
        <f t="shared" si="0"/>
        <v>-8</v>
      </c>
      <c r="F67" s="72">
        <f t="shared" si="1"/>
        <v>-0.16326530612244894</v>
      </c>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row>
    <row r="68" spans="2:38" s="67" customFormat="1" ht="15.75" x14ac:dyDescent="0.25">
      <c r="B68" s="65" t="s">
        <v>3</v>
      </c>
      <c r="C68" s="77">
        <v>195</v>
      </c>
      <c r="D68" s="77">
        <v>182</v>
      </c>
      <c r="E68" s="77">
        <f t="shared" si="0"/>
        <v>-13</v>
      </c>
      <c r="F68" s="79">
        <f t="shared" si="1"/>
        <v>-6.6666666666666652E-2</v>
      </c>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row>
    <row r="69" spans="2:38" s="35" customFormat="1" ht="15.75" x14ac:dyDescent="0.2">
      <c r="B69" s="122" t="s">
        <v>109</v>
      </c>
      <c r="C69" s="82">
        <v>6831</v>
      </c>
      <c r="D69" s="82">
        <v>6628</v>
      </c>
      <c r="E69" s="82">
        <f t="shared" si="0"/>
        <v>-203</v>
      </c>
      <c r="F69" s="83">
        <f t="shared" si="1"/>
        <v>-2.9717464500073176E-2</v>
      </c>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row>
    <row r="70" spans="2:38" ht="15.75" x14ac:dyDescent="0.25">
      <c r="B70" s="66"/>
      <c r="C70" s="84"/>
      <c r="D70" s="84"/>
      <c r="E70" s="84"/>
      <c r="F70" s="85"/>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row>
    <row r="71" spans="2:38" ht="15.75" x14ac:dyDescent="0.25">
      <c r="B71" s="126" t="s">
        <v>0</v>
      </c>
      <c r="C71" s="80"/>
      <c r="D71" s="80"/>
      <c r="E71" s="80"/>
      <c r="F71" s="81"/>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row>
    <row r="72" spans="2:38" ht="15" x14ac:dyDescent="0.2">
      <c r="B72" s="62" t="s">
        <v>105</v>
      </c>
      <c r="C72" s="53">
        <v>292</v>
      </c>
      <c r="D72" s="53">
        <v>286</v>
      </c>
      <c r="E72" s="53">
        <f t="shared" si="0"/>
        <v>-6</v>
      </c>
      <c r="F72" s="55">
        <f t="shared" si="1"/>
        <v>-2.0547945205479423E-2</v>
      </c>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row>
    <row r="73" spans="2:38" ht="15" x14ac:dyDescent="0.2">
      <c r="B73" s="63" t="s">
        <v>16</v>
      </c>
      <c r="C73" s="71">
        <v>192</v>
      </c>
      <c r="D73" s="70">
        <v>191</v>
      </c>
      <c r="E73" s="70">
        <f t="shared" si="0"/>
        <v>-1</v>
      </c>
      <c r="F73" s="72">
        <f t="shared" si="1"/>
        <v>-5.2083333333333703E-3</v>
      </c>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row>
    <row r="74" spans="2:38" ht="15" x14ac:dyDescent="0.2">
      <c r="B74" s="62" t="s">
        <v>19</v>
      </c>
      <c r="C74" s="53">
        <v>299</v>
      </c>
      <c r="D74" s="53">
        <v>284</v>
      </c>
      <c r="E74" s="53">
        <f t="shared" si="0"/>
        <v>-15</v>
      </c>
      <c r="F74" s="55">
        <f t="shared" si="1"/>
        <v>-5.0167224080267525E-2</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row>
    <row r="75" spans="2:38" ht="15" x14ac:dyDescent="0.2">
      <c r="B75" s="63" t="s">
        <v>18</v>
      </c>
      <c r="C75" s="71">
        <v>447</v>
      </c>
      <c r="D75" s="70">
        <v>428</v>
      </c>
      <c r="E75" s="70">
        <f t="shared" ref="E75:E80" si="2">D75-C75</f>
        <v>-19</v>
      </c>
      <c r="F75" s="72">
        <f t="shared" ref="F75:F80" si="3">D75/C75-1</f>
        <v>-4.2505592841163287E-2</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2:38" ht="15" x14ac:dyDescent="0.2">
      <c r="B76" s="62" t="s">
        <v>106</v>
      </c>
      <c r="C76" s="53">
        <v>110</v>
      </c>
      <c r="D76" s="53">
        <v>103</v>
      </c>
      <c r="E76" s="53">
        <f t="shared" si="2"/>
        <v>-7</v>
      </c>
      <c r="F76" s="55">
        <f t="shared" si="3"/>
        <v>-6.3636363636363602E-2</v>
      </c>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row>
    <row r="77" spans="2:38" ht="15" x14ac:dyDescent="0.2">
      <c r="B77" s="63" t="s">
        <v>17</v>
      </c>
      <c r="C77" s="71">
        <v>142</v>
      </c>
      <c r="D77" s="70">
        <v>135</v>
      </c>
      <c r="E77" s="70">
        <f t="shared" si="2"/>
        <v>-7</v>
      </c>
      <c r="F77" s="72">
        <f t="shared" si="3"/>
        <v>-4.9295774647887369E-2</v>
      </c>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row>
    <row r="78" spans="2:38" ht="15" x14ac:dyDescent="0.2">
      <c r="B78" s="62" t="s">
        <v>22</v>
      </c>
      <c r="C78" s="53">
        <v>131</v>
      </c>
      <c r="D78" s="53">
        <v>128</v>
      </c>
      <c r="E78" s="53">
        <f t="shared" si="2"/>
        <v>-3</v>
      </c>
      <c r="F78" s="55">
        <f t="shared" si="3"/>
        <v>-2.2900763358778664E-2</v>
      </c>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row>
    <row r="79" spans="2:38" s="67" customFormat="1" ht="15.75" x14ac:dyDescent="0.25">
      <c r="B79" s="64" t="s">
        <v>3</v>
      </c>
      <c r="C79" s="74">
        <v>1613</v>
      </c>
      <c r="D79" s="73">
        <v>1555</v>
      </c>
      <c r="E79" s="73">
        <f t="shared" si="2"/>
        <v>-58</v>
      </c>
      <c r="F79" s="75">
        <f t="shared" si="3"/>
        <v>-3.5957842529448225E-2</v>
      </c>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row>
    <row r="80" spans="2:38" ht="15.75" x14ac:dyDescent="0.2">
      <c r="B80" s="122" t="s">
        <v>116</v>
      </c>
      <c r="C80" s="82">
        <v>8444</v>
      </c>
      <c r="D80" s="82">
        <v>8183</v>
      </c>
      <c r="E80" s="82">
        <f t="shared" si="2"/>
        <v>-261</v>
      </c>
      <c r="F80" s="83">
        <f t="shared" si="3"/>
        <v>-3.0909521553766028E-2</v>
      </c>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row>
    <row r="81" spans="2:38" ht="15" x14ac:dyDescent="0.25">
      <c r="B81" s="17"/>
      <c r="C81" s="21"/>
      <c r="D81" s="21"/>
      <c r="E81" s="19"/>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spans="2:38" ht="14.25" x14ac:dyDescent="0.2">
      <c r="B82" s="22"/>
      <c r="C82" s="21"/>
      <c r="D82" s="21"/>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row>
    <row r="83" spans="2:38" x14ac:dyDescent="0.2">
      <c r="B83" s="23"/>
      <c r="C83" s="21"/>
      <c r="D83" s="21"/>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row>
    <row r="84" spans="2:38" x14ac:dyDescent="0.2">
      <c r="B84" s="27"/>
      <c r="C84" s="21"/>
      <c r="D84" s="21"/>
      <c r="E84" s="25"/>
      <c r="F84" s="25"/>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row>
    <row r="85" spans="2:38" x14ac:dyDescent="0.2">
      <c r="B85" s="27"/>
      <c r="C85" s="21"/>
      <c r="D85" s="21"/>
      <c r="E85" s="25"/>
      <c r="F85" s="25"/>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row>
    <row r="86" spans="2:38" ht="64.5" customHeight="1" x14ac:dyDescent="0.2">
      <c r="B86" s="153"/>
      <c r="C86" s="21"/>
      <c r="D86" s="21"/>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row>
    <row r="87" spans="2:38" ht="74.25" customHeight="1" x14ac:dyDescent="0.2">
      <c r="B87" s="154"/>
      <c r="C87" s="21"/>
      <c r="D87" s="21"/>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row>
    <row r="88" spans="2:38" x14ac:dyDescent="0.2">
      <c r="B88" s="29"/>
      <c r="C88" s="21"/>
      <c r="D88" s="21"/>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row>
    <row r="89" spans="2:38" x14ac:dyDescent="0.2">
      <c r="B89" s="177"/>
      <c r="C89" s="21"/>
      <c r="D89" s="21"/>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row>
    <row r="90" spans="2:38" ht="31.5" customHeight="1" x14ac:dyDescent="0.2">
      <c r="B90" s="177"/>
      <c r="C90" s="21"/>
      <c r="D90" s="21"/>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row>
    <row r="91" spans="2:38" x14ac:dyDescent="0.2">
      <c r="B91" s="31"/>
      <c r="C91" s="21"/>
      <c r="D91" s="21"/>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row>
    <row r="92" spans="2:38" x14ac:dyDescent="0.2">
      <c r="B92" s="31"/>
      <c r="C92" s="21"/>
      <c r="D92" s="21"/>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row>
    <row r="93" spans="2:38" x14ac:dyDescent="0.2">
      <c r="B93" s="31"/>
      <c r="C93" s="21"/>
      <c r="D93" s="21"/>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row>
    <row r="94" spans="2:38" x14ac:dyDescent="0.2">
      <c r="B94" s="31"/>
      <c r="C94" s="21"/>
      <c r="D94" s="21"/>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row>
    <row r="95" spans="2:38" x14ac:dyDescent="0.2">
      <c r="B95" s="31"/>
      <c r="C95" s="21"/>
      <c r="D95" s="21"/>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row>
    <row r="96" spans="2:38" x14ac:dyDescent="0.2">
      <c r="B96" s="31"/>
      <c r="C96" s="21"/>
      <c r="D96" s="21"/>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row>
    <row r="97" spans="2:38" x14ac:dyDescent="0.2">
      <c r="B97" s="31"/>
      <c r="C97" s="21"/>
      <c r="D97" s="21"/>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row>
    <row r="98" spans="2:38" x14ac:dyDescent="0.2">
      <c r="B98" s="31"/>
      <c r="C98" s="21"/>
      <c r="D98" s="21"/>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row>
    <row r="99" spans="2:38" x14ac:dyDescent="0.2">
      <c r="B99" s="31"/>
      <c r="C99" s="21"/>
      <c r="D99" s="21"/>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row>
    <row r="100" spans="2:38" x14ac:dyDescent="0.2">
      <c r="B100" s="31"/>
      <c r="C100" s="21"/>
      <c r="D100" s="21"/>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row>
    <row r="101" spans="2:38" x14ac:dyDescent="0.2">
      <c r="B101" s="31"/>
      <c r="C101" s="21"/>
      <c r="D101" s="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row>
    <row r="102" spans="2:38" x14ac:dyDescent="0.2">
      <c r="B102" s="31"/>
      <c r="C102" s="21"/>
      <c r="D102" s="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row>
    <row r="103" spans="2:38" x14ac:dyDescent="0.2">
      <c r="B103" s="31"/>
      <c r="C103" s="21"/>
      <c r="D103" s="21"/>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row>
    <row r="104" spans="2:38" x14ac:dyDescent="0.2">
      <c r="B104" s="31"/>
      <c r="C104" s="21"/>
      <c r="D104" s="21"/>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row>
    <row r="105" spans="2:38" x14ac:dyDescent="0.2">
      <c r="B105" s="31"/>
      <c r="C105" s="21"/>
      <c r="D105" s="21"/>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row>
    <row r="106" spans="2:38" x14ac:dyDescent="0.2">
      <c r="B106" s="31"/>
      <c r="C106" s="21"/>
      <c r="D106" s="21"/>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row>
    <row r="107" spans="2:38" x14ac:dyDescent="0.2">
      <c r="B107" s="31"/>
      <c r="C107" s="21"/>
      <c r="D107" s="21"/>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row>
    <row r="108" spans="2:38" x14ac:dyDescent="0.2">
      <c r="B108" s="31"/>
      <c r="C108" s="21"/>
      <c r="D108" s="21"/>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row>
    <row r="109" spans="2:38" x14ac:dyDescent="0.2">
      <c r="B109" s="31"/>
      <c r="C109" s="21"/>
      <c r="D109" s="21"/>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2:38" x14ac:dyDescent="0.2">
      <c r="B110" s="31"/>
      <c r="C110" s="21"/>
      <c r="D110" s="21"/>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row>
    <row r="111" spans="2:38" x14ac:dyDescent="0.2">
      <c r="B111" s="31"/>
      <c r="C111" s="21"/>
      <c r="D111" s="21"/>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row>
    <row r="112" spans="2:38" x14ac:dyDescent="0.2">
      <c r="B112" s="31"/>
      <c r="C112" s="21"/>
      <c r="D112" s="21"/>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row>
    <row r="113" spans="2:38" x14ac:dyDescent="0.2">
      <c r="B113" s="31"/>
      <c r="C113" s="21"/>
      <c r="D113" s="21"/>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row>
    <row r="114" spans="2:38" x14ac:dyDescent="0.2">
      <c r="B114" s="31"/>
      <c r="C114" s="21"/>
      <c r="D114" s="21"/>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row>
    <row r="115" spans="2:38" x14ac:dyDescent="0.2">
      <c r="B115" s="31"/>
      <c r="C115" s="21"/>
      <c r="D115" s="21"/>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row>
    <row r="116" spans="2:38" x14ac:dyDescent="0.2">
      <c r="B116" s="31"/>
      <c r="C116" s="21"/>
      <c r="D116" s="21"/>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row>
    <row r="117" spans="2:38" x14ac:dyDescent="0.2">
      <c r="B117" s="13"/>
      <c r="C117" s="21"/>
      <c r="D117" s="21"/>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2:38" ht="51" customHeight="1" x14ac:dyDescent="0.2">
      <c r="B118" s="151"/>
      <c r="C118" s="21"/>
      <c r="D118" s="21"/>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row>
    <row r="119" spans="2:38" x14ac:dyDescent="0.2">
      <c r="B119" s="152"/>
      <c r="C119" s="21"/>
      <c r="D119" s="21"/>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row>
    <row r="120" spans="2:38" x14ac:dyDescent="0.2">
      <c r="B120" s="12"/>
      <c r="C120" s="21"/>
      <c r="D120" s="21"/>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row>
    <row r="121" spans="2:38" x14ac:dyDescent="0.2">
      <c r="B121" s="13"/>
      <c r="C121" s="21"/>
      <c r="D121" s="21"/>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row>
    <row r="122" spans="2:38" x14ac:dyDescent="0.2">
      <c r="B122" s="13"/>
      <c r="C122" s="21"/>
      <c r="D122" s="21"/>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row>
    <row r="123" spans="2:38" x14ac:dyDescent="0.2">
      <c r="B123" s="13"/>
      <c r="C123" s="21"/>
      <c r="D123" s="21"/>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row>
    <row r="124" spans="2:38" x14ac:dyDescent="0.2">
      <c r="B124" s="13"/>
      <c r="C124" s="21"/>
      <c r="D124" s="21"/>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row>
    <row r="125" spans="2:38" ht="17.25" customHeight="1" x14ac:dyDescent="0.2">
      <c r="B125" s="13"/>
      <c r="C125" s="21"/>
      <c r="D125" s="21"/>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row>
    <row r="126" spans="2:38" x14ac:dyDescent="0.2">
      <c r="B126" s="13"/>
      <c r="C126" s="21"/>
      <c r="D126" s="21"/>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row>
    <row r="127" spans="2:38" x14ac:dyDescent="0.2">
      <c r="B127" s="13"/>
      <c r="C127" s="21"/>
      <c r="D127" s="21"/>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row>
    <row r="128" spans="2:38" x14ac:dyDescent="0.2">
      <c r="B128" s="13"/>
      <c r="C128" s="21"/>
      <c r="D128" s="21"/>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row>
    <row r="129" spans="2:38" x14ac:dyDescent="0.2">
      <c r="B129" s="13"/>
      <c r="C129" s="21"/>
      <c r="D129" s="21"/>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row>
    <row r="130" spans="2:38" x14ac:dyDescent="0.2">
      <c r="B130" s="13"/>
      <c r="C130" s="21"/>
      <c r="D130" s="21"/>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row>
    <row r="131" spans="2:38" x14ac:dyDescent="0.2">
      <c r="B131" s="13"/>
      <c r="C131" s="21"/>
      <c r="D131" s="21"/>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row>
    <row r="132" spans="2:38" x14ac:dyDescent="0.2">
      <c r="B132" s="13"/>
      <c r="C132" s="21"/>
      <c r="D132" s="21"/>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row>
    <row r="133" spans="2:38" x14ac:dyDescent="0.2">
      <c r="B133" s="13"/>
      <c r="C133" s="21"/>
      <c r="D133" s="21"/>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row>
    <row r="134" spans="2:38" x14ac:dyDescent="0.2">
      <c r="B134" s="13"/>
      <c r="C134" s="21"/>
      <c r="D134" s="21"/>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row>
    <row r="135" spans="2:38" x14ac:dyDescent="0.2">
      <c r="B135" s="13"/>
      <c r="C135" s="21"/>
      <c r="D135" s="21"/>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row>
    <row r="136" spans="2:38" x14ac:dyDescent="0.2">
      <c r="B136" s="13"/>
      <c r="C136" s="21"/>
      <c r="D136" s="21"/>
      <c r="E136" s="13"/>
      <c r="F136" s="13"/>
    </row>
  </sheetData>
  <mergeCells count="1">
    <mergeCell ref="B89:B9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S119"/>
  <sheetViews>
    <sheetView showGridLines="0" topLeftCell="A15" workbookViewId="0">
      <selection activeCell="C36" sqref="C36"/>
    </sheetView>
  </sheetViews>
  <sheetFormatPr defaultColWidth="9.140625" defaultRowHeight="12.75" x14ac:dyDescent="0.2"/>
  <cols>
    <col min="1" max="1" width="9.140625" style="5"/>
    <col min="2" max="2" width="21.28515625" style="5" customWidth="1"/>
    <col min="3" max="7" width="21.7109375" style="5" customWidth="1"/>
    <col min="8" max="8" width="9.28515625" style="5" bestFit="1" customWidth="1"/>
    <col min="9" max="9" width="20.5703125" style="5" bestFit="1" customWidth="1"/>
    <col min="10" max="10" width="16.140625" style="5" customWidth="1"/>
    <col min="11" max="11" width="14.28515625" style="5" customWidth="1"/>
    <col min="12" max="13" width="9.7109375" style="6" customWidth="1"/>
    <col min="14" max="14" width="24.42578125" style="5" customWidth="1"/>
    <col min="15" max="15" width="9.7109375" style="5" customWidth="1"/>
    <col min="16" max="19" width="9.140625" style="5"/>
    <col min="20" max="20" width="10.28515625" style="5" customWidth="1"/>
    <col min="21" max="21" width="11.5703125" style="5" customWidth="1"/>
    <col min="22" max="16384" width="9.140625" style="5"/>
  </cols>
  <sheetData>
    <row r="1" spans="1:123" customFormat="1" x14ac:dyDescent="0.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row>
    <row r="2" spans="1:123" customFormat="1" x14ac:dyDescent="0.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row>
    <row r="3" spans="1:123" customFormat="1" ht="20.25" x14ac:dyDescent="0.3">
      <c r="A3" s="37" t="s">
        <v>98</v>
      </c>
      <c r="B3" s="14"/>
      <c r="C3" s="14"/>
      <c r="D3" s="14"/>
      <c r="E3" s="14"/>
      <c r="F3" s="14"/>
      <c r="G3" s="14"/>
      <c r="H3" s="14"/>
      <c r="I3" s="14"/>
      <c r="J3" s="14"/>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row>
    <row r="4" spans="1:123" s="88" customFormat="1" ht="15" customHeight="1" x14ac:dyDescent="0.2">
      <c r="A4" s="49" t="s">
        <v>115</v>
      </c>
      <c r="B4" s="86"/>
      <c r="C4" s="86"/>
      <c r="D4" s="86"/>
      <c r="E4" s="86"/>
      <c r="F4" s="86"/>
      <c r="G4" s="86"/>
      <c r="H4" s="86"/>
      <c r="I4" s="86"/>
      <c r="J4" s="86"/>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row>
    <row r="5" spans="1:123" s="88" customFormat="1" ht="15" customHeight="1" x14ac:dyDescent="0.2">
      <c r="A5" s="50" t="s">
        <v>114</v>
      </c>
      <c r="B5" s="89"/>
      <c r="C5" s="89"/>
      <c r="D5" s="89"/>
      <c r="E5" s="89"/>
      <c r="F5" s="89"/>
      <c r="G5" s="89"/>
      <c r="H5" s="89"/>
      <c r="I5" s="89"/>
      <c r="J5" s="89"/>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row>
    <row r="6" spans="1:123" s="88" customFormat="1" ht="15" customHeight="1" x14ac:dyDescent="0.25">
      <c r="A6" s="47" t="s">
        <v>151</v>
      </c>
      <c r="B6" s="90"/>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row>
    <row r="7" spans="1:123" ht="15" customHeight="1" x14ac:dyDescent="0.25">
      <c r="C7" s="178"/>
      <c r="D7" s="178"/>
      <c r="E7" s="178"/>
      <c r="F7" s="178"/>
      <c r="G7" s="178"/>
      <c r="H7" s="7"/>
      <c r="I7" s="7"/>
    </row>
    <row r="8" spans="1:123" s="91" customFormat="1" ht="30.75" customHeight="1" x14ac:dyDescent="0.2">
      <c r="B8" s="92" t="s">
        <v>99</v>
      </c>
      <c r="C8" s="93" t="s">
        <v>13</v>
      </c>
      <c r="D8" s="92" t="s">
        <v>14</v>
      </c>
      <c r="E8" s="93" t="s">
        <v>15</v>
      </c>
      <c r="F8" s="93" t="s">
        <v>2</v>
      </c>
      <c r="G8" s="93" t="s">
        <v>107</v>
      </c>
      <c r="J8" s="94"/>
      <c r="K8" s="94"/>
    </row>
    <row r="9" spans="1:123" s="95" customFormat="1" ht="13.5" customHeight="1" x14ac:dyDescent="0.2">
      <c r="B9" s="96">
        <v>1995</v>
      </c>
      <c r="C9" s="53">
        <v>28093</v>
      </c>
      <c r="D9" s="53">
        <v>2239</v>
      </c>
      <c r="E9" s="53">
        <v>5409</v>
      </c>
      <c r="F9" s="53">
        <f t="shared" ref="F9:F32" si="0">SUM(C9:E9)</f>
        <v>35741</v>
      </c>
      <c r="G9" s="97"/>
    </row>
    <row r="10" spans="1:123" s="95" customFormat="1" ht="15" x14ac:dyDescent="0.2">
      <c r="B10" s="98">
        <v>1996</v>
      </c>
      <c r="C10" s="70">
        <v>27092</v>
      </c>
      <c r="D10" s="70">
        <v>2135</v>
      </c>
      <c r="E10" s="70">
        <v>5343</v>
      </c>
      <c r="F10" s="70">
        <f t="shared" si="0"/>
        <v>34570</v>
      </c>
      <c r="G10" s="72">
        <f>F10/F9-1</f>
        <v>-3.2763492907305292E-2</v>
      </c>
    </row>
    <row r="11" spans="1:123" s="95" customFormat="1" ht="15" x14ac:dyDescent="0.2">
      <c r="B11" s="96">
        <v>1997</v>
      </c>
      <c r="C11" s="53">
        <v>26110</v>
      </c>
      <c r="D11" s="53">
        <v>2009</v>
      </c>
      <c r="E11" s="53">
        <v>5233</v>
      </c>
      <c r="F11" s="53">
        <f t="shared" si="0"/>
        <v>33352</v>
      </c>
      <c r="G11" s="55">
        <f t="shared" ref="G11:G25" si="1">F11/F10-1</f>
        <v>-3.5232860862019044E-2</v>
      </c>
    </row>
    <row r="12" spans="1:123" s="95" customFormat="1" ht="15" x14ac:dyDescent="0.2">
      <c r="B12" s="98">
        <v>1998</v>
      </c>
      <c r="C12" s="70">
        <v>24681</v>
      </c>
      <c r="D12" s="70">
        <v>1951</v>
      </c>
      <c r="E12" s="70">
        <v>5121</v>
      </c>
      <c r="F12" s="70">
        <f t="shared" si="0"/>
        <v>31753</v>
      </c>
      <c r="G12" s="72">
        <f t="shared" si="1"/>
        <v>-4.7943151834972442E-2</v>
      </c>
    </row>
    <row r="13" spans="1:123" s="95" customFormat="1" ht="15" x14ac:dyDescent="0.2">
      <c r="B13" s="96">
        <v>1999</v>
      </c>
      <c r="C13" s="53">
        <v>23286</v>
      </c>
      <c r="D13" s="53">
        <v>1896</v>
      </c>
      <c r="E13" s="53">
        <v>5039</v>
      </c>
      <c r="F13" s="53">
        <f t="shared" si="0"/>
        <v>30221</v>
      </c>
      <c r="G13" s="55">
        <f t="shared" si="1"/>
        <v>-4.8247409693572219E-2</v>
      </c>
    </row>
    <row r="14" spans="1:123" s="95" customFormat="1" ht="15" x14ac:dyDescent="0.2">
      <c r="B14" s="98">
        <v>2000</v>
      </c>
      <c r="C14" s="70">
        <v>21772</v>
      </c>
      <c r="D14" s="70">
        <v>1795</v>
      </c>
      <c r="E14" s="70">
        <v>4855</v>
      </c>
      <c r="F14" s="70">
        <f t="shared" si="0"/>
        <v>28422</v>
      </c>
      <c r="G14" s="72">
        <f t="shared" si="1"/>
        <v>-5.9528142682240826E-2</v>
      </c>
    </row>
    <row r="15" spans="1:123" s="95" customFormat="1" ht="15" x14ac:dyDescent="0.2">
      <c r="B15" s="96">
        <v>2001</v>
      </c>
      <c r="C15" s="53">
        <v>20191</v>
      </c>
      <c r="D15" s="53">
        <v>1624</v>
      </c>
      <c r="E15" s="53">
        <v>4741</v>
      </c>
      <c r="F15" s="53">
        <f t="shared" si="0"/>
        <v>26556</v>
      </c>
      <c r="G15" s="55">
        <f t="shared" si="1"/>
        <v>-6.5653367109985261E-2</v>
      </c>
    </row>
    <row r="16" spans="1:123" s="95" customFormat="1" ht="15" x14ac:dyDescent="0.2">
      <c r="B16" s="98">
        <v>2002</v>
      </c>
      <c r="C16" s="70">
        <v>18695</v>
      </c>
      <c r="D16" s="70">
        <v>1639</v>
      </c>
      <c r="E16" s="70">
        <v>4596</v>
      </c>
      <c r="F16" s="70">
        <f t="shared" si="0"/>
        <v>24930</v>
      </c>
      <c r="G16" s="72">
        <f t="shared" si="1"/>
        <v>-6.1229100768187994E-2</v>
      </c>
    </row>
    <row r="17" spans="2:8" s="95" customFormat="1" ht="15" x14ac:dyDescent="0.2">
      <c r="B17" s="96">
        <v>2003</v>
      </c>
      <c r="C17" s="53">
        <v>16977</v>
      </c>
      <c r="D17" s="53">
        <v>1590</v>
      </c>
      <c r="E17" s="53">
        <v>4425</v>
      </c>
      <c r="F17" s="53">
        <f t="shared" si="0"/>
        <v>22992</v>
      </c>
      <c r="G17" s="55">
        <f t="shared" si="1"/>
        <v>-7.773766546329719E-2</v>
      </c>
    </row>
    <row r="18" spans="2:8" s="95" customFormat="1" ht="15" x14ac:dyDescent="0.2">
      <c r="B18" s="98">
        <v>2004</v>
      </c>
      <c r="C18" s="70">
        <v>15846</v>
      </c>
      <c r="D18" s="70">
        <v>1569</v>
      </c>
      <c r="E18" s="70">
        <v>4201</v>
      </c>
      <c r="F18" s="70">
        <f t="shared" si="0"/>
        <v>21616</v>
      </c>
      <c r="G18" s="72">
        <f t="shared" si="1"/>
        <v>-5.9846903270702856E-2</v>
      </c>
    </row>
    <row r="19" spans="2:8" s="95" customFormat="1" ht="15" x14ac:dyDescent="0.2">
      <c r="B19" s="96" t="s">
        <v>85</v>
      </c>
      <c r="C19" s="53">
        <v>14732</v>
      </c>
      <c r="D19" s="53">
        <v>1523</v>
      </c>
      <c r="E19" s="53">
        <v>4058</v>
      </c>
      <c r="F19" s="53">
        <f t="shared" si="0"/>
        <v>20313</v>
      </c>
      <c r="G19" s="55">
        <f t="shared" si="1"/>
        <v>-6.0279422649888947E-2</v>
      </c>
    </row>
    <row r="20" spans="2:8" s="95" customFormat="1" ht="15" x14ac:dyDescent="0.2">
      <c r="B20" s="98">
        <v>2006</v>
      </c>
      <c r="C20" s="70">
        <v>13778</v>
      </c>
      <c r="D20" s="70">
        <v>1472</v>
      </c>
      <c r="E20" s="70">
        <v>3376</v>
      </c>
      <c r="F20" s="70">
        <f t="shared" si="0"/>
        <v>18626</v>
      </c>
      <c r="G20" s="72">
        <f>F20/F19-1</f>
        <v>-8.3050263378132261E-2</v>
      </c>
    </row>
    <row r="21" spans="2:8" s="95" customFormat="1" ht="15" x14ac:dyDescent="0.2">
      <c r="B21" s="96">
        <v>2007</v>
      </c>
      <c r="C21" s="53">
        <v>12867</v>
      </c>
      <c r="D21" s="53">
        <v>1431</v>
      </c>
      <c r="E21" s="53">
        <v>3129</v>
      </c>
      <c r="F21" s="53">
        <f t="shared" si="0"/>
        <v>17427</v>
      </c>
      <c r="G21" s="55">
        <f t="shared" si="1"/>
        <v>-6.4372382690862207E-2</v>
      </c>
    </row>
    <row r="22" spans="2:8" s="95" customFormat="1" ht="15" x14ac:dyDescent="0.2">
      <c r="B22" s="98">
        <v>2008</v>
      </c>
      <c r="C22" s="70">
        <v>12252</v>
      </c>
      <c r="D22" s="70">
        <v>1351</v>
      </c>
      <c r="E22" s="70">
        <v>2989</v>
      </c>
      <c r="F22" s="70">
        <f t="shared" si="0"/>
        <v>16592</v>
      </c>
      <c r="G22" s="72">
        <f t="shared" si="1"/>
        <v>-4.7914156194410973E-2</v>
      </c>
    </row>
    <row r="23" spans="2:8" s="95" customFormat="1" ht="15" x14ac:dyDescent="0.2">
      <c r="B23" s="96">
        <v>2009</v>
      </c>
      <c r="C23" s="53">
        <v>11743</v>
      </c>
      <c r="D23" s="53">
        <v>1298</v>
      </c>
      <c r="E23" s="53">
        <v>2967</v>
      </c>
      <c r="F23" s="53">
        <f t="shared" si="0"/>
        <v>16008</v>
      </c>
      <c r="G23" s="55">
        <f t="shared" si="1"/>
        <v>-3.5197685631629727E-2</v>
      </c>
    </row>
    <row r="24" spans="2:8" s="95" customFormat="1" ht="15" x14ac:dyDescent="0.2">
      <c r="B24" s="98">
        <v>2010</v>
      </c>
      <c r="C24" s="70">
        <v>11256</v>
      </c>
      <c r="D24" s="70">
        <v>1263</v>
      </c>
      <c r="E24" s="70">
        <v>2781</v>
      </c>
      <c r="F24" s="70">
        <f t="shared" si="0"/>
        <v>15300</v>
      </c>
      <c r="G24" s="72">
        <f t="shared" si="1"/>
        <v>-4.4227886056971477E-2</v>
      </c>
    </row>
    <row r="25" spans="2:8" s="95" customFormat="1" ht="15" x14ac:dyDescent="0.2">
      <c r="B25" s="96">
        <v>2011</v>
      </c>
      <c r="C25" s="53">
        <v>10851</v>
      </c>
      <c r="D25" s="53">
        <v>1189</v>
      </c>
      <c r="E25" s="53">
        <v>2753</v>
      </c>
      <c r="F25" s="53">
        <f t="shared" si="0"/>
        <v>14793</v>
      </c>
      <c r="G25" s="55">
        <f t="shared" si="1"/>
        <v>-3.3137254901960733E-2</v>
      </c>
      <c r="H25" s="99"/>
    </row>
    <row r="26" spans="2:8" s="95" customFormat="1" ht="15" x14ac:dyDescent="0.2">
      <c r="B26" s="98" t="s">
        <v>87</v>
      </c>
      <c r="C26" s="70">
        <v>10724</v>
      </c>
      <c r="D26" s="70">
        <v>1027</v>
      </c>
      <c r="E26" s="70">
        <v>2662</v>
      </c>
      <c r="F26" s="70">
        <f t="shared" si="0"/>
        <v>14413</v>
      </c>
      <c r="G26" s="72">
        <f t="shared" ref="G26:G32" si="2">F26/F25-1</f>
        <v>-2.5687825322787794E-2</v>
      </c>
      <c r="H26" s="99"/>
    </row>
    <row r="27" spans="2:8" s="95" customFormat="1" ht="15" x14ac:dyDescent="0.2">
      <c r="B27" s="96">
        <v>2013</v>
      </c>
      <c r="C27" s="53">
        <v>10581</v>
      </c>
      <c r="D27" s="53">
        <v>1011</v>
      </c>
      <c r="E27" s="53">
        <v>2684</v>
      </c>
      <c r="F27" s="53">
        <f t="shared" si="0"/>
        <v>14276</v>
      </c>
      <c r="G27" s="55">
        <f t="shared" si="2"/>
        <v>-9.5053077083189219E-3</v>
      </c>
      <c r="H27" s="100"/>
    </row>
    <row r="28" spans="2:8" s="95" customFormat="1" ht="15" x14ac:dyDescent="0.2">
      <c r="B28" s="98">
        <v>2014</v>
      </c>
      <c r="C28" s="70">
        <v>10274</v>
      </c>
      <c r="D28" s="70">
        <v>993</v>
      </c>
      <c r="E28" s="70">
        <v>2655</v>
      </c>
      <c r="F28" s="70">
        <f t="shared" si="0"/>
        <v>13922</v>
      </c>
      <c r="G28" s="72">
        <f t="shared" si="2"/>
        <v>-2.4796861866068887E-2</v>
      </c>
      <c r="H28" s="100"/>
    </row>
    <row r="29" spans="2:8" s="95" customFormat="1" ht="15" x14ac:dyDescent="0.2">
      <c r="B29" s="96">
        <v>2015</v>
      </c>
      <c r="C29" s="53">
        <v>9827</v>
      </c>
      <c r="D29" s="53">
        <v>1001</v>
      </c>
      <c r="E29" s="53">
        <v>2742</v>
      </c>
      <c r="F29" s="53">
        <f t="shared" si="0"/>
        <v>13570</v>
      </c>
      <c r="G29" s="55">
        <f t="shared" si="2"/>
        <v>-2.528372360293063E-2</v>
      </c>
      <c r="H29" s="100"/>
    </row>
    <row r="30" spans="2:8" s="95" customFormat="1" ht="15" x14ac:dyDescent="0.2">
      <c r="B30" s="98">
        <v>2016</v>
      </c>
      <c r="C30" s="70">
        <v>9559</v>
      </c>
      <c r="D30" s="70">
        <v>974</v>
      </c>
      <c r="E30" s="70">
        <v>2694</v>
      </c>
      <c r="F30" s="70">
        <f t="shared" si="0"/>
        <v>13227</v>
      </c>
      <c r="G30" s="72">
        <f t="shared" si="2"/>
        <v>-2.5276344878408241E-2</v>
      </c>
    </row>
    <row r="31" spans="2:8" s="95" customFormat="1" ht="15" x14ac:dyDescent="0.2">
      <c r="B31" s="96">
        <v>2017</v>
      </c>
      <c r="C31" s="53">
        <v>9406</v>
      </c>
      <c r="D31" s="53">
        <v>924</v>
      </c>
      <c r="E31" s="53">
        <v>2636</v>
      </c>
      <c r="F31" s="53">
        <f t="shared" si="0"/>
        <v>12966</v>
      </c>
      <c r="G31" s="55">
        <f t="shared" si="2"/>
        <v>-1.9732365615785841E-2</v>
      </c>
    </row>
    <row r="32" spans="2:8" s="95" customFormat="1" ht="15" x14ac:dyDescent="0.2">
      <c r="B32" s="98">
        <v>2018</v>
      </c>
      <c r="C32" s="70">
        <v>9304</v>
      </c>
      <c r="D32" s="70">
        <v>902</v>
      </c>
      <c r="E32" s="70">
        <v>2545</v>
      </c>
      <c r="F32" s="70">
        <f t="shared" si="0"/>
        <v>12751</v>
      </c>
      <c r="G32" s="72">
        <f t="shared" si="2"/>
        <v>-1.6581829399969106E-2</v>
      </c>
    </row>
    <row r="33" spans="2:14" s="95" customFormat="1" ht="15.75" x14ac:dyDescent="0.25">
      <c r="B33" s="96">
        <v>2019</v>
      </c>
      <c r="C33" s="53">
        <v>8735</v>
      </c>
      <c r="D33" s="53">
        <v>888</v>
      </c>
      <c r="E33" s="53">
        <v>2586</v>
      </c>
      <c r="F33" s="53">
        <f t="shared" ref="F33" si="3">SUM(C33:E33)</f>
        <v>12209</v>
      </c>
      <c r="G33" s="55">
        <f t="shared" ref="G33:G36" si="4">F33/F32-1</f>
        <v>-4.2506470080778014E-2</v>
      </c>
      <c r="H33" s="101"/>
      <c r="I33" s="101"/>
      <c r="J33" s="101"/>
      <c r="L33" s="102"/>
      <c r="M33" s="102"/>
      <c r="N33" s="102"/>
    </row>
    <row r="34" spans="2:14" ht="15" x14ac:dyDescent="0.2">
      <c r="B34" s="98">
        <v>2020</v>
      </c>
      <c r="C34" s="70">
        <v>8444</v>
      </c>
      <c r="D34" s="70">
        <v>862</v>
      </c>
      <c r="E34" s="70">
        <v>2603</v>
      </c>
      <c r="F34" s="70">
        <f t="shared" ref="F34:F36" si="5">SUM(C34:E34)</f>
        <v>11909</v>
      </c>
      <c r="G34" s="72">
        <f t="shared" si="4"/>
        <v>-2.4572037021869164E-2</v>
      </c>
    </row>
    <row r="35" spans="2:14" ht="15" x14ac:dyDescent="0.2">
      <c r="B35" s="96">
        <v>2021</v>
      </c>
      <c r="C35" s="53">
        <v>8183</v>
      </c>
      <c r="D35" s="53">
        <v>836</v>
      </c>
      <c r="E35" s="53">
        <v>2562</v>
      </c>
      <c r="F35" s="53">
        <f t="shared" si="5"/>
        <v>11581</v>
      </c>
      <c r="G35" s="55">
        <f t="shared" si="4"/>
        <v>-2.7542194978587675E-2</v>
      </c>
    </row>
    <row r="36" spans="2:14" ht="15" x14ac:dyDescent="0.2">
      <c r="B36" s="98">
        <v>2022</v>
      </c>
      <c r="C36" s="70">
        <v>7846</v>
      </c>
      <c r="D36" s="70">
        <v>819</v>
      </c>
      <c r="E36" s="70">
        <v>2537</v>
      </c>
      <c r="F36" s="70">
        <f t="shared" si="5"/>
        <v>11202</v>
      </c>
      <c r="G36" s="72">
        <f t="shared" si="4"/>
        <v>-3.2726016751575826E-2</v>
      </c>
    </row>
    <row r="37" spans="2:14" ht="15" x14ac:dyDescent="0.2">
      <c r="B37" s="36"/>
      <c r="C37" s="36"/>
      <c r="D37" s="36"/>
      <c r="E37" s="36"/>
      <c r="F37" s="36"/>
      <c r="G37" s="36"/>
      <c r="H37" s="36"/>
    </row>
    <row r="38" spans="2:14" x14ac:dyDescent="0.2">
      <c r="D38" s="9"/>
    </row>
    <row r="39" spans="2:14" x14ac:dyDescent="0.2">
      <c r="D39" s="9"/>
    </row>
    <row r="40" spans="2:14" x14ac:dyDescent="0.2">
      <c r="D40" s="9"/>
    </row>
    <row r="56" spans="15:15" x14ac:dyDescent="0.2">
      <c r="O56" s="5" t="s">
        <v>12</v>
      </c>
    </row>
    <row r="93" spans="2:3" x14ac:dyDescent="0.2">
      <c r="C93" s="3"/>
    </row>
    <row r="94" spans="2:3" x14ac:dyDescent="0.2">
      <c r="B94" s="10"/>
    </row>
    <row r="117" spans="2:3" x14ac:dyDescent="0.2">
      <c r="B117" s="8"/>
      <c r="C117" s="3"/>
    </row>
    <row r="119" spans="2:3" x14ac:dyDescent="0.2">
      <c r="B119" s="10"/>
    </row>
  </sheetData>
  <mergeCells count="1">
    <mergeCell ref="C7:G7"/>
  </mergeCells>
  <pageMargins left="0.75" right="0.75" top="1" bottom="1" header="0.5" footer="0.5"/>
  <pageSetup paperSize="9" scale="68" orientation="portrait" horizontalDpi="4294967292" r:id="rId1"/>
  <headerFooter alignWithMargins="0"/>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M12"/>
  <sheetViews>
    <sheetView workbookViewId="0">
      <selection activeCell="N14" sqref="N14"/>
    </sheetView>
  </sheetViews>
  <sheetFormatPr defaultColWidth="9.140625" defaultRowHeight="12.75" x14ac:dyDescent="0.2"/>
  <cols>
    <col min="1" max="16384" width="9.140625" style="1"/>
  </cols>
  <sheetData>
    <row r="12" spans="13:13" x14ac:dyDescent="0.2">
      <c r="M12" s="4"/>
    </row>
  </sheetData>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
  <sheetViews>
    <sheetView showGridLines="0" workbookViewId="0">
      <selection activeCell="F9" sqref="F9"/>
    </sheetView>
  </sheetViews>
  <sheetFormatPr defaultColWidth="8.85546875" defaultRowHeight="15" x14ac:dyDescent="0.2"/>
  <cols>
    <col min="1" max="1" width="26" style="104" customWidth="1"/>
    <col min="2" max="11" width="11.7109375" style="104" customWidth="1"/>
    <col min="12" max="16384" width="8.85546875" style="104"/>
  </cols>
  <sheetData>
    <row r="1" spans="1:37" ht="15" customHeight="1" thickBot="1" x14ac:dyDescent="0.25">
      <c r="A1" s="103"/>
      <c r="B1" s="103"/>
      <c r="C1" s="103"/>
      <c r="D1" s="103"/>
      <c r="E1" s="103"/>
      <c r="F1" s="103"/>
      <c r="G1" s="103"/>
      <c r="H1" s="103"/>
      <c r="I1" s="103"/>
      <c r="J1" s="103"/>
      <c r="K1" s="103"/>
      <c r="L1" s="103"/>
      <c r="M1" s="103"/>
      <c r="N1" s="103"/>
      <c r="O1" s="103"/>
      <c r="P1" s="103"/>
      <c r="Q1" s="103"/>
      <c r="R1" s="103"/>
      <c r="S1" s="103"/>
      <c r="T1" s="38"/>
      <c r="U1" s="38"/>
      <c r="V1" s="38"/>
      <c r="W1" s="38"/>
      <c r="X1" s="38"/>
      <c r="Y1" s="38"/>
      <c r="Z1" s="38"/>
      <c r="AA1" s="38"/>
      <c r="AB1" s="38"/>
      <c r="AC1" s="38"/>
      <c r="AD1" s="38"/>
      <c r="AE1" s="38"/>
      <c r="AF1" s="38"/>
      <c r="AG1" s="38"/>
      <c r="AH1" s="38"/>
      <c r="AI1" s="38"/>
      <c r="AJ1" s="38"/>
      <c r="AK1" s="38"/>
    </row>
    <row r="2" spans="1:37" ht="27" customHeight="1" x14ac:dyDescent="0.2">
      <c r="A2" s="105" t="s">
        <v>103</v>
      </c>
      <c r="B2" s="105"/>
      <c r="C2" s="105"/>
      <c r="D2" s="105"/>
      <c r="E2" s="105"/>
      <c r="F2" s="105"/>
      <c r="G2" s="105"/>
      <c r="H2" s="105"/>
      <c r="I2" s="105"/>
      <c r="J2" s="105"/>
      <c r="K2" s="105"/>
      <c r="L2" s="105"/>
      <c r="M2" s="105"/>
      <c r="N2" s="103"/>
      <c r="O2" s="103"/>
      <c r="P2" s="103"/>
      <c r="Q2" s="103"/>
      <c r="R2" s="103"/>
      <c r="S2" s="103"/>
      <c r="T2" s="38"/>
      <c r="U2" s="38"/>
      <c r="V2" s="38"/>
      <c r="W2" s="38"/>
      <c r="X2" s="38"/>
      <c r="Y2" s="38"/>
      <c r="Z2" s="38"/>
      <c r="AA2" s="38"/>
      <c r="AB2" s="38"/>
      <c r="AC2" s="38"/>
      <c r="AD2" s="38"/>
      <c r="AE2" s="38"/>
      <c r="AF2" s="38"/>
      <c r="AG2" s="38"/>
      <c r="AH2" s="38"/>
      <c r="AI2" s="38"/>
      <c r="AJ2" s="38"/>
      <c r="AK2" s="38"/>
    </row>
    <row r="3" spans="1:37" ht="27.75" customHeight="1" x14ac:dyDescent="0.2">
      <c r="A3" s="194" t="s">
        <v>134</v>
      </c>
      <c r="B3" s="194"/>
      <c r="C3" s="194"/>
      <c r="D3" s="194"/>
      <c r="E3" s="194"/>
      <c r="F3" s="194"/>
      <c r="G3" s="194"/>
      <c r="H3" s="194"/>
      <c r="I3" s="194"/>
      <c r="J3" s="194"/>
      <c r="K3" s="195"/>
      <c r="L3" s="195"/>
      <c r="M3" s="195"/>
      <c r="N3" s="103"/>
      <c r="O3" s="103"/>
      <c r="P3" s="103"/>
      <c r="Q3" s="103"/>
      <c r="R3" s="103"/>
      <c r="S3" s="103"/>
      <c r="T3" s="38"/>
      <c r="U3" s="38"/>
      <c r="V3" s="38"/>
      <c r="W3" s="38"/>
      <c r="X3" s="38"/>
      <c r="Y3" s="38"/>
      <c r="Z3" s="38"/>
      <c r="AA3" s="38"/>
      <c r="AB3" s="38"/>
      <c r="AC3" s="38"/>
      <c r="AD3" s="38"/>
      <c r="AE3" s="38"/>
      <c r="AF3" s="38"/>
      <c r="AG3" s="38"/>
      <c r="AH3" s="38"/>
      <c r="AI3" s="38"/>
      <c r="AJ3" s="38"/>
      <c r="AK3" s="38"/>
    </row>
    <row r="4" spans="1:37" ht="70.5" customHeight="1" x14ac:dyDescent="0.2">
      <c r="A4" s="199" t="s">
        <v>135</v>
      </c>
      <c r="B4" s="199"/>
      <c r="C4" s="199"/>
      <c r="D4" s="199"/>
      <c r="E4" s="199"/>
      <c r="F4" s="199"/>
      <c r="G4" s="199"/>
      <c r="H4" s="199"/>
      <c r="I4" s="199"/>
      <c r="J4" s="199"/>
      <c r="K4" s="199"/>
      <c r="L4" s="103"/>
      <c r="M4" s="103"/>
      <c r="N4" s="103"/>
      <c r="O4" s="103"/>
      <c r="P4" s="103"/>
      <c r="Q4" s="103"/>
      <c r="R4" s="103"/>
      <c r="S4" s="103"/>
      <c r="T4" s="38"/>
      <c r="U4" s="38"/>
      <c r="V4" s="38"/>
      <c r="W4" s="38"/>
      <c r="X4" s="38"/>
      <c r="Y4" s="38"/>
      <c r="Z4" s="38"/>
      <c r="AA4" s="38"/>
      <c r="AB4" s="38"/>
      <c r="AC4" s="38"/>
      <c r="AD4" s="38"/>
      <c r="AE4" s="38"/>
      <c r="AF4" s="38"/>
      <c r="AG4" s="38"/>
      <c r="AH4" s="38"/>
      <c r="AI4" s="38"/>
      <c r="AJ4" s="38"/>
      <c r="AK4" s="38"/>
    </row>
    <row r="5" spans="1:37" ht="15" customHeight="1" x14ac:dyDescent="0.2">
      <c r="A5" s="198" t="s">
        <v>104</v>
      </c>
      <c r="B5" s="198"/>
      <c r="C5" s="198"/>
      <c r="D5" s="198"/>
      <c r="E5" s="198"/>
      <c r="F5" s="198"/>
      <c r="G5" s="198"/>
      <c r="H5" s="103"/>
      <c r="I5" s="103"/>
      <c r="J5" s="103"/>
      <c r="K5" s="103"/>
      <c r="L5" s="103"/>
      <c r="M5" s="103"/>
      <c r="N5" s="103"/>
      <c r="O5" s="103"/>
      <c r="P5" s="103"/>
      <c r="Q5" s="103"/>
      <c r="R5" s="103"/>
      <c r="S5" s="103"/>
      <c r="T5" s="38"/>
      <c r="U5" s="38"/>
      <c r="V5" s="38"/>
      <c r="W5" s="38"/>
      <c r="X5" s="38"/>
      <c r="Y5" s="38"/>
      <c r="Z5" s="38"/>
      <c r="AA5" s="38"/>
      <c r="AB5" s="38"/>
      <c r="AC5" s="38"/>
      <c r="AD5" s="38"/>
      <c r="AE5" s="38"/>
      <c r="AF5" s="38"/>
      <c r="AG5" s="38"/>
      <c r="AH5" s="38"/>
      <c r="AI5" s="38"/>
      <c r="AJ5" s="38"/>
      <c r="AK5" s="38"/>
    </row>
    <row r="6" spans="1:37" ht="15" customHeight="1" x14ac:dyDescent="0.2">
      <c r="A6" s="168"/>
      <c r="B6" s="168"/>
      <c r="C6" s="168"/>
      <c r="D6" s="168"/>
      <c r="E6" s="168"/>
      <c r="F6" s="168"/>
      <c r="G6" s="168"/>
      <c r="H6" s="103"/>
      <c r="I6" s="103"/>
      <c r="J6" s="103"/>
      <c r="K6" s="103"/>
      <c r="L6" s="103"/>
      <c r="M6" s="103"/>
      <c r="N6" s="103"/>
      <c r="O6" s="103"/>
      <c r="P6" s="103"/>
      <c r="Q6" s="103"/>
      <c r="R6" s="103"/>
      <c r="S6" s="103"/>
      <c r="T6" s="38"/>
      <c r="U6" s="38"/>
      <c r="V6" s="38"/>
      <c r="W6" s="38"/>
      <c r="X6" s="38"/>
      <c r="Y6" s="38"/>
      <c r="Z6" s="38"/>
      <c r="AA6" s="38"/>
      <c r="AB6" s="38"/>
      <c r="AC6" s="38"/>
      <c r="AD6" s="38"/>
      <c r="AE6" s="38"/>
      <c r="AF6" s="38"/>
      <c r="AG6" s="38"/>
      <c r="AH6" s="38"/>
      <c r="AI6" s="38"/>
      <c r="AJ6" s="38"/>
      <c r="AK6" s="38"/>
    </row>
    <row r="7" spans="1:37" ht="15" customHeight="1" x14ac:dyDescent="0.2">
      <c r="A7" s="169" t="s">
        <v>156</v>
      </c>
      <c r="B7" s="168"/>
      <c r="C7" s="168"/>
      <c r="D7" s="168"/>
      <c r="E7" s="168"/>
      <c r="F7" s="168"/>
      <c r="G7" s="168"/>
      <c r="H7" s="103"/>
      <c r="I7" s="103"/>
      <c r="J7" s="103"/>
      <c r="K7" s="103"/>
      <c r="L7" s="103"/>
      <c r="M7" s="103"/>
      <c r="N7" s="103"/>
      <c r="O7" s="103"/>
      <c r="P7" s="103"/>
      <c r="Q7" s="103"/>
      <c r="R7" s="103"/>
      <c r="S7" s="103"/>
      <c r="T7" s="38"/>
      <c r="U7" s="38"/>
      <c r="V7" s="38"/>
      <c r="W7" s="38"/>
      <c r="X7" s="38"/>
      <c r="Y7" s="38"/>
      <c r="Z7" s="38"/>
      <c r="AA7" s="38"/>
      <c r="AB7" s="38"/>
      <c r="AC7" s="38"/>
      <c r="AD7" s="38"/>
      <c r="AE7" s="38"/>
      <c r="AF7" s="38"/>
      <c r="AG7" s="38"/>
      <c r="AH7" s="38"/>
      <c r="AI7" s="38"/>
      <c r="AJ7" s="38"/>
      <c r="AK7" s="38"/>
    </row>
    <row r="8" spans="1:37" ht="15" customHeight="1" x14ac:dyDescent="0.2">
      <c r="A8" s="103"/>
      <c r="B8" s="103"/>
      <c r="C8" s="103"/>
      <c r="D8" s="103"/>
      <c r="E8" s="103"/>
      <c r="F8" s="103"/>
      <c r="G8" s="103"/>
      <c r="H8" s="103"/>
      <c r="I8" s="103"/>
      <c r="J8" s="103"/>
      <c r="K8" s="103"/>
      <c r="L8" s="103"/>
      <c r="M8" s="103"/>
      <c r="N8" s="103"/>
      <c r="O8" s="103"/>
      <c r="P8" s="103"/>
      <c r="Q8" s="103"/>
      <c r="R8" s="103"/>
      <c r="S8" s="103"/>
      <c r="T8" s="38"/>
      <c r="U8" s="38"/>
      <c r="V8" s="38"/>
      <c r="W8" s="38"/>
      <c r="X8" s="38"/>
      <c r="Y8" s="38"/>
      <c r="Z8" s="38"/>
      <c r="AA8" s="38"/>
      <c r="AB8" s="38"/>
      <c r="AC8" s="38"/>
      <c r="AD8" s="38"/>
      <c r="AE8" s="38"/>
      <c r="AF8" s="38"/>
      <c r="AG8" s="38"/>
      <c r="AH8" s="38"/>
      <c r="AI8" s="38"/>
      <c r="AJ8" s="38"/>
      <c r="AK8" s="38"/>
    </row>
    <row r="9" spans="1:37" ht="15" customHeight="1" x14ac:dyDescent="0.2">
      <c r="A9" s="108" t="s">
        <v>110</v>
      </c>
      <c r="B9" s="46"/>
      <c r="C9" s="46"/>
      <c r="D9" s="46"/>
      <c r="E9" s="46"/>
      <c r="F9" s="46"/>
      <c r="G9" s="46"/>
      <c r="H9" s="103"/>
      <c r="I9" s="103"/>
      <c r="J9" s="103"/>
      <c r="K9" s="103"/>
      <c r="L9" s="103"/>
      <c r="M9" s="103"/>
      <c r="N9" s="103"/>
      <c r="O9" s="103"/>
      <c r="P9" s="103"/>
      <c r="Q9" s="103"/>
      <c r="R9" s="103"/>
      <c r="S9" s="103"/>
      <c r="T9" s="38"/>
      <c r="U9" s="38"/>
      <c r="V9" s="38"/>
      <c r="W9" s="38"/>
      <c r="X9" s="38"/>
      <c r="Y9" s="38"/>
      <c r="Z9" s="38"/>
      <c r="AA9" s="38"/>
      <c r="AB9" s="38"/>
      <c r="AC9" s="38"/>
      <c r="AD9" s="38"/>
      <c r="AE9" s="38"/>
      <c r="AF9" s="38"/>
      <c r="AG9" s="38"/>
      <c r="AH9" s="38"/>
      <c r="AI9" s="38"/>
      <c r="AJ9" s="38"/>
      <c r="AK9" s="38"/>
    </row>
    <row r="10" spans="1:37" ht="33.6" customHeight="1" x14ac:dyDescent="0.2">
      <c r="A10" s="187" t="s">
        <v>86</v>
      </c>
      <c r="B10" s="187"/>
      <c r="C10" s="187"/>
      <c r="D10" s="187"/>
      <c r="E10" s="187"/>
      <c r="F10" s="187"/>
      <c r="G10" s="187"/>
      <c r="H10" s="187"/>
      <c r="I10" s="187"/>
      <c r="J10" s="187"/>
      <c r="K10" s="187"/>
      <c r="L10" s="103"/>
      <c r="M10" s="103"/>
      <c r="N10" s="103"/>
      <c r="O10" s="103"/>
      <c r="P10" s="103"/>
      <c r="Q10" s="103"/>
      <c r="R10" s="103"/>
      <c r="S10" s="103"/>
      <c r="T10" s="38"/>
      <c r="U10" s="38"/>
      <c r="V10" s="38"/>
      <c r="W10" s="38"/>
      <c r="X10" s="38"/>
      <c r="Y10" s="38"/>
      <c r="Z10" s="38"/>
      <c r="AA10" s="38"/>
      <c r="AB10" s="38"/>
      <c r="AC10" s="38"/>
      <c r="AD10" s="38"/>
      <c r="AE10" s="38"/>
      <c r="AF10" s="38"/>
      <c r="AG10" s="38"/>
      <c r="AH10" s="38"/>
      <c r="AI10" s="38"/>
      <c r="AJ10" s="38"/>
      <c r="AK10" s="38"/>
    </row>
    <row r="11" spans="1:37" ht="38.25" customHeight="1" x14ac:dyDescent="0.2">
      <c r="A11" s="188" t="s">
        <v>137</v>
      </c>
      <c r="B11" s="188"/>
      <c r="C11" s="188"/>
      <c r="D11" s="188"/>
      <c r="E11" s="188"/>
      <c r="F11" s="188"/>
      <c r="G11" s="188"/>
      <c r="H11" s="189"/>
      <c r="I11" s="189"/>
      <c r="J11" s="189"/>
      <c r="K11" s="189"/>
      <c r="L11" s="103"/>
      <c r="M11" s="103"/>
      <c r="N11" s="103"/>
      <c r="O11" s="103"/>
      <c r="P11" s="103"/>
      <c r="Q11" s="103"/>
      <c r="R11" s="103"/>
      <c r="S11" s="103"/>
      <c r="T11" s="38"/>
      <c r="U11" s="38"/>
      <c r="V11" s="38"/>
      <c r="W11" s="38"/>
      <c r="X11" s="38"/>
      <c r="Y11" s="38"/>
      <c r="Z11" s="38"/>
      <c r="AA11" s="38"/>
      <c r="AB11" s="38"/>
      <c r="AC11" s="38"/>
      <c r="AD11" s="38"/>
      <c r="AE11" s="38"/>
      <c r="AF11" s="38"/>
      <c r="AG11" s="38"/>
      <c r="AH11" s="38"/>
      <c r="AI11" s="38"/>
      <c r="AJ11" s="38"/>
      <c r="AK11" s="38"/>
    </row>
    <row r="12" spans="1:37" ht="15" customHeight="1" x14ac:dyDescent="0.2">
      <c r="A12" s="107"/>
      <c r="B12" s="107"/>
      <c r="C12" s="107"/>
      <c r="D12" s="107"/>
      <c r="E12" s="107"/>
      <c r="F12" s="107"/>
      <c r="G12" s="107"/>
      <c r="H12" s="103"/>
      <c r="I12" s="103"/>
      <c r="J12" s="103"/>
      <c r="K12" s="103"/>
      <c r="L12" s="103"/>
      <c r="M12" s="103"/>
      <c r="N12" s="103"/>
      <c r="O12" s="103"/>
      <c r="P12" s="103"/>
      <c r="Q12" s="103"/>
      <c r="R12" s="103"/>
      <c r="S12" s="103"/>
      <c r="T12" s="38"/>
      <c r="U12" s="38"/>
      <c r="V12" s="38"/>
      <c r="W12" s="38"/>
      <c r="X12" s="38"/>
      <c r="Y12" s="38"/>
      <c r="Z12" s="38"/>
      <c r="AA12" s="38"/>
      <c r="AB12" s="38"/>
      <c r="AC12" s="38"/>
      <c r="AD12" s="38"/>
      <c r="AE12" s="38"/>
      <c r="AF12" s="38"/>
      <c r="AG12" s="38"/>
      <c r="AH12" s="38"/>
      <c r="AI12" s="38"/>
      <c r="AJ12" s="38"/>
      <c r="AK12" s="38"/>
    </row>
    <row r="13" spans="1:37" ht="15.75" x14ac:dyDescent="0.2">
      <c r="A13" s="106" t="s">
        <v>102</v>
      </c>
      <c r="B13" s="46"/>
      <c r="C13" s="46"/>
      <c r="D13" s="46"/>
      <c r="E13" s="46"/>
      <c r="F13" s="46"/>
      <c r="G13" s="46"/>
      <c r="H13" s="103"/>
      <c r="I13" s="103"/>
      <c r="J13" s="103"/>
      <c r="K13" s="103"/>
      <c r="L13" s="103"/>
      <c r="M13" s="103"/>
      <c r="N13" s="103"/>
      <c r="O13" s="103"/>
      <c r="P13" s="103"/>
      <c r="Q13" s="103"/>
      <c r="R13" s="103"/>
      <c r="S13" s="103"/>
      <c r="T13" s="38"/>
      <c r="U13" s="38"/>
      <c r="V13" s="38"/>
      <c r="W13" s="38"/>
      <c r="X13" s="38"/>
      <c r="Y13" s="38"/>
      <c r="Z13" s="38"/>
      <c r="AA13" s="38"/>
      <c r="AB13" s="38"/>
      <c r="AC13" s="38"/>
      <c r="AD13" s="38"/>
      <c r="AE13" s="38"/>
      <c r="AF13" s="38"/>
      <c r="AG13" s="38"/>
      <c r="AH13" s="38"/>
      <c r="AI13" s="38"/>
      <c r="AJ13" s="38"/>
      <c r="AK13" s="38"/>
    </row>
    <row r="14" spans="1:37" ht="15.75" x14ac:dyDescent="0.25">
      <c r="A14" s="138" t="s">
        <v>22</v>
      </c>
      <c r="B14" s="182" t="s">
        <v>18</v>
      </c>
      <c r="C14" s="182"/>
      <c r="D14" s="182" t="s">
        <v>16</v>
      </c>
      <c r="E14" s="182"/>
      <c r="F14" s="182" t="s">
        <v>100</v>
      </c>
      <c r="G14" s="182"/>
      <c r="H14" s="182" t="s">
        <v>101</v>
      </c>
      <c r="I14" s="182"/>
      <c r="J14" s="182" t="s">
        <v>19</v>
      </c>
      <c r="K14" s="182"/>
      <c r="L14" s="182" t="s">
        <v>17</v>
      </c>
      <c r="M14" s="183"/>
      <c r="N14" s="103"/>
      <c r="O14" s="103"/>
      <c r="P14" s="103"/>
      <c r="Q14" s="103"/>
      <c r="R14" s="103"/>
      <c r="S14" s="103"/>
      <c r="T14" s="38"/>
      <c r="U14" s="38"/>
      <c r="V14" s="38"/>
      <c r="W14" s="38"/>
      <c r="X14" s="38"/>
      <c r="Y14" s="38"/>
      <c r="Z14" s="38"/>
      <c r="AA14" s="38"/>
      <c r="AB14" s="38"/>
      <c r="AC14" s="38"/>
      <c r="AD14" s="38"/>
      <c r="AE14" s="38"/>
      <c r="AF14" s="38"/>
      <c r="AG14" s="38"/>
      <c r="AH14" s="38"/>
      <c r="AI14" s="38"/>
      <c r="AJ14" s="38"/>
      <c r="AK14" s="38"/>
    </row>
    <row r="15" spans="1:37" ht="15" customHeight="1" x14ac:dyDescent="0.2">
      <c r="A15" s="123" t="s">
        <v>21</v>
      </c>
      <c r="B15" s="180" t="s">
        <v>18</v>
      </c>
      <c r="C15" s="180"/>
      <c r="D15" s="180" t="s">
        <v>16</v>
      </c>
      <c r="E15" s="180"/>
      <c r="F15" s="180" t="s">
        <v>26</v>
      </c>
      <c r="G15" s="180"/>
      <c r="H15" s="180" t="s">
        <v>20</v>
      </c>
      <c r="I15" s="180"/>
      <c r="J15" s="180" t="s">
        <v>19</v>
      </c>
      <c r="K15" s="180"/>
      <c r="L15" s="180" t="s">
        <v>17</v>
      </c>
      <c r="M15" s="181"/>
      <c r="N15" s="103"/>
      <c r="O15" s="103"/>
      <c r="P15" s="103"/>
      <c r="Q15" s="103"/>
      <c r="R15" s="103"/>
      <c r="S15" s="103"/>
      <c r="T15" s="38"/>
      <c r="U15" s="38"/>
      <c r="V15" s="38"/>
      <c r="W15" s="38"/>
      <c r="X15" s="38"/>
      <c r="Y15" s="38"/>
      <c r="Z15" s="38"/>
      <c r="AA15" s="38"/>
      <c r="AB15" s="38"/>
      <c r="AC15" s="38"/>
      <c r="AD15" s="38"/>
      <c r="AE15" s="38"/>
      <c r="AF15" s="38"/>
      <c r="AG15" s="38"/>
      <c r="AH15" s="38"/>
      <c r="AI15" s="38"/>
      <c r="AJ15" s="38"/>
      <c r="AK15" s="38"/>
    </row>
    <row r="16" spans="1:37" s="110" customFormat="1" ht="15" customHeight="1" x14ac:dyDescent="0.2">
      <c r="A16" s="124" t="s">
        <v>23</v>
      </c>
      <c r="B16" s="186" t="s">
        <v>82</v>
      </c>
      <c r="C16" s="186"/>
      <c r="D16" s="197"/>
      <c r="E16" s="197"/>
      <c r="F16" s="186" t="s">
        <v>27</v>
      </c>
      <c r="G16" s="186"/>
      <c r="H16" s="186" t="s">
        <v>29</v>
      </c>
      <c r="I16" s="186"/>
      <c r="J16" s="127"/>
      <c r="K16" s="127"/>
      <c r="L16" s="127"/>
      <c r="M16" s="128"/>
      <c r="N16" s="109"/>
      <c r="O16" s="109"/>
      <c r="P16" s="109"/>
      <c r="Q16" s="109"/>
      <c r="R16" s="109"/>
      <c r="S16" s="109"/>
      <c r="T16" s="48"/>
      <c r="U16" s="48"/>
      <c r="V16" s="48"/>
      <c r="W16" s="48"/>
      <c r="X16" s="48"/>
      <c r="Y16" s="48"/>
      <c r="Z16" s="48"/>
      <c r="AA16" s="48"/>
      <c r="AB16" s="48"/>
      <c r="AC16" s="48"/>
      <c r="AD16" s="48"/>
      <c r="AE16" s="48"/>
      <c r="AF16" s="48"/>
      <c r="AG16" s="48"/>
      <c r="AH16" s="48"/>
      <c r="AI16" s="48"/>
      <c r="AJ16" s="48"/>
      <c r="AK16" s="48"/>
    </row>
    <row r="17" spans="1:37" x14ac:dyDescent="0.2">
      <c r="A17" s="123" t="s">
        <v>24</v>
      </c>
      <c r="B17" s="129"/>
      <c r="C17" s="130"/>
      <c r="D17" s="129"/>
      <c r="E17" s="130"/>
      <c r="F17" s="185" t="s">
        <v>28</v>
      </c>
      <c r="G17" s="185"/>
      <c r="H17" s="185" t="s">
        <v>83</v>
      </c>
      <c r="I17" s="185"/>
      <c r="J17" s="129"/>
      <c r="K17" s="129"/>
      <c r="L17" s="131"/>
      <c r="M17" s="132"/>
      <c r="N17" s="103"/>
      <c r="O17" s="103"/>
      <c r="P17" s="103"/>
      <c r="Q17" s="103"/>
      <c r="R17" s="103"/>
      <c r="S17" s="103"/>
      <c r="T17" s="38"/>
      <c r="U17" s="38"/>
      <c r="V17" s="38"/>
      <c r="W17" s="38"/>
      <c r="X17" s="38"/>
      <c r="Y17" s="38"/>
      <c r="Z17" s="38"/>
      <c r="AA17" s="38"/>
      <c r="AB17" s="38"/>
      <c r="AC17" s="38"/>
      <c r="AD17" s="38"/>
      <c r="AE17" s="38"/>
      <c r="AF17" s="38"/>
      <c r="AG17" s="38"/>
      <c r="AH17" s="38"/>
      <c r="AI17" s="38"/>
      <c r="AJ17" s="38"/>
      <c r="AK17" s="38"/>
    </row>
    <row r="18" spans="1:37" x14ac:dyDescent="0.2">
      <c r="A18" s="124" t="s">
        <v>25</v>
      </c>
      <c r="B18" s="133"/>
      <c r="C18" s="134"/>
      <c r="D18" s="135"/>
      <c r="E18" s="134"/>
      <c r="F18" s="184" t="s">
        <v>38</v>
      </c>
      <c r="G18" s="184"/>
      <c r="H18" s="184" t="s">
        <v>84</v>
      </c>
      <c r="I18" s="184"/>
      <c r="J18" s="133"/>
      <c r="K18" s="136"/>
      <c r="L18" s="136"/>
      <c r="M18" s="137"/>
      <c r="N18" s="103"/>
      <c r="O18" s="103"/>
      <c r="P18" s="103"/>
      <c r="Q18" s="103"/>
      <c r="R18" s="103"/>
      <c r="S18" s="103"/>
      <c r="T18" s="38"/>
      <c r="U18" s="38"/>
      <c r="V18" s="38"/>
      <c r="W18" s="38"/>
      <c r="X18" s="38"/>
      <c r="Y18" s="38"/>
      <c r="Z18" s="38"/>
      <c r="AA18" s="38"/>
      <c r="AB18" s="38"/>
      <c r="AC18" s="38"/>
      <c r="AD18" s="38"/>
      <c r="AE18" s="38"/>
      <c r="AF18" s="38"/>
      <c r="AG18" s="38"/>
      <c r="AH18" s="38"/>
      <c r="AI18" s="38"/>
      <c r="AJ18" s="38"/>
      <c r="AK18" s="38"/>
    </row>
    <row r="19" spans="1:37" x14ac:dyDescent="0.2">
      <c r="A19" s="123" t="s">
        <v>30</v>
      </c>
      <c r="B19" s="112"/>
      <c r="C19" s="114"/>
      <c r="D19" s="113"/>
      <c r="E19" s="112"/>
      <c r="F19" s="112"/>
      <c r="G19" s="112"/>
      <c r="H19" s="112"/>
      <c r="I19" s="113"/>
      <c r="J19" s="113"/>
      <c r="K19" s="113"/>
      <c r="L19" s="113"/>
      <c r="M19" s="115"/>
      <c r="N19" s="103"/>
      <c r="O19" s="103"/>
      <c r="P19" s="103"/>
      <c r="Q19" s="103"/>
      <c r="R19" s="103"/>
      <c r="S19" s="103"/>
      <c r="T19" s="38"/>
      <c r="U19" s="38"/>
      <c r="V19" s="38"/>
      <c r="W19" s="38"/>
      <c r="X19" s="38"/>
      <c r="Y19" s="38"/>
      <c r="Z19" s="38"/>
      <c r="AA19" s="38"/>
      <c r="AB19" s="38"/>
      <c r="AC19" s="38"/>
      <c r="AD19" s="38"/>
      <c r="AE19" s="38"/>
      <c r="AF19" s="38"/>
      <c r="AG19" s="38"/>
      <c r="AH19" s="38"/>
      <c r="AI19" s="38"/>
      <c r="AJ19" s="38"/>
      <c r="AK19" s="38"/>
    </row>
    <row r="20" spans="1:37" x14ac:dyDescent="0.2">
      <c r="A20" s="124" t="s">
        <v>31</v>
      </c>
      <c r="B20" s="111"/>
      <c r="C20" s="116"/>
      <c r="D20" s="111"/>
      <c r="E20" s="111"/>
      <c r="F20" s="111"/>
      <c r="G20" s="111"/>
      <c r="H20" s="111"/>
      <c r="I20" s="111"/>
      <c r="J20" s="111"/>
      <c r="K20" s="111"/>
      <c r="L20" s="111"/>
      <c r="M20" s="117"/>
      <c r="N20" s="103"/>
      <c r="O20" s="103"/>
      <c r="P20" s="103"/>
      <c r="Q20" s="103"/>
      <c r="R20" s="103"/>
      <c r="S20" s="103"/>
      <c r="T20" s="38"/>
      <c r="U20" s="38"/>
      <c r="V20" s="38"/>
      <c r="W20" s="38"/>
      <c r="X20" s="38"/>
      <c r="Y20" s="38"/>
      <c r="Z20" s="38"/>
      <c r="AA20" s="38"/>
      <c r="AB20" s="38"/>
      <c r="AC20" s="38"/>
      <c r="AD20" s="38"/>
      <c r="AE20" s="38"/>
      <c r="AF20" s="38"/>
      <c r="AG20" s="38"/>
      <c r="AH20" s="38"/>
      <c r="AI20" s="38"/>
      <c r="AJ20" s="38"/>
      <c r="AK20" s="38"/>
    </row>
    <row r="21" spans="1:37" x14ac:dyDescent="0.2">
      <c r="A21" s="123" t="s">
        <v>32</v>
      </c>
      <c r="B21" s="113"/>
      <c r="C21" s="113"/>
      <c r="D21" s="113"/>
      <c r="E21" s="113"/>
      <c r="F21" s="113"/>
      <c r="G21" s="113"/>
      <c r="H21" s="114"/>
      <c r="I21" s="113"/>
      <c r="J21" s="113"/>
      <c r="K21" s="113"/>
      <c r="L21" s="113"/>
      <c r="M21" s="115"/>
      <c r="N21" s="103"/>
      <c r="O21" s="103"/>
      <c r="P21" s="103"/>
      <c r="Q21" s="103"/>
      <c r="R21" s="103"/>
      <c r="S21" s="103"/>
      <c r="T21" s="38"/>
      <c r="U21" s="38"/>
      <c r="V21" s="38"/>
      <c r="W21" s="38"/>
      <c r="X21" s="38"/>
      <c r="Y21" s="38"/>
      <c r="Z21" s="38"/>
      <c r="AA21" s="38"/>
      <c r="AB21" s="38"/>
      <c r="AC21" s="38"/>
      <c r="AD21" s="38"/>
      <c r="AE21" s="38"/>
      <c r="AF21" s="38"/>
      <c r="AG21" s="38"/>
      <c r="AH21" s="38"/>
      <c r="AI21" s="38"/>
      <c r="AJ21" s="38"/>
      <c r="AK21" s="38"/>
    </row>
    <row r="22" spans="1:37" x14ac:dyDescent="0.2">
      <c r="A22" s="124" t="s">
        <v>33</v>
      </c>
      <c r="B22" s="111"/>
      <c r="C22" s="111"/>
      <c r="D22" s="111"/>
      <c r="E22" s="111"/>
      <c r="F22" s="111"/>
      <c r="G22" s="111"/>
      <c r="H22" s="116"/>
      <c r="I22" s="111"/>
      <c r="J22" s="111"/>
      <c r="K22" s="111"/>
      <c r="L22" s="111"/>
      <c r="M22" s="117"/>
      <c r="N22" s="103"/>
      <c r="O22" s="103"/>
      <c r="P22" s="103"/>
      <c r="Q22" s="103"/>
      <c r="R22" s="103"/>
      <c r="S22" s="103"/>
      <c r="T22" s="38"/>
      <c r="U22" s="38"/>
      <c r="V22" s="38"/>
      <c r="W22" s="38"/>
      <c r="X22" s="38"/>
      <c r="Y22" s="38"/>
      <c r="Z22" s="38"/>
      <c r="AA22" s="38"/>
      <c r="AB22" s="38"/>
      <c r="AC22" s="38"/>
      <c r="AD22" s="38"/>
      <c r="AE22" s="38"/>
      <c r="AF22" s="38"/>
      <c r="AG22" s="38"/>
      <c r="AH22" s="38"/>
      <c r="AI22" s="38"/>
      <c r="AJ22" s="38"/>
      <c r="AK22" s="38"/>
    </row>
    <row r="23" spans="1:37" x14ac:dyDescent="0.2">
      <c r="A23" s="123" t="s">
        <v>34</v>
      </c>
      <c r="B23" s="113"/>
      <c r="C23" s="113"/>
      <c r="D23" s="113"/>
      <c r="E23" s="113"/>
      <c r="F23" s="113"/>
      <c r="G23" s="113"/>
      <c r="H23" s="114"/>
      <c r="I23" s="113"/>
      <c r="J23" s="113"/>
      <c r="K23" s="113"/>
      <c r="L23" s="113"/>
      <c r="M23" s="115"/>
      <c r="N23" s="103"/>
      <c r="O23" s="103"/>
      <c r="P23" s="103"/>
      <c r="Q23" s="103"/>
      <c r="R23" s="103"/>
      <c r="S23" s="103"/>
      <c r="T23" s="38"/>
      <c r="U23" s="38"/>
      <c r="V23" s="38"/>
      <c r="W23" s="38"/>
      <c r="X23" s="38"/>
      <c r="Y23" s="38"/>
      <c r="Z23" s="38"/>
      <c r="AA23" s="38"/>
      <c r="AB23" s="38"/>
      <c r="AC23" s="38"/>
      <c r="AD23" s="38"/>
      <c r="AE23" s="38"/>
      <c r="AF23" s="38"/>
      <c r="AG23" s="38"/>
      <c r="AH23" s="38"/>
      <c r="AI23" s="38"/>
      <c r="AJ23" s="38"/>
      <c r="AK23" s="38"/>
    </row>
    <row r="24" spans="1:37" x14ac:dyDescent="0.2">
      <c r="A24" s="124" t="s">
        <v>35</v>
      </c>
      <c r="B24" s="111"/>
      <c r="C24" s="111"/>
      <c r="D24" s="111"/>
      <c r="E24" s="111"/>
      <c r="F24" s="111"/>
      <c r="G24" s="111"/>
      <c r="H24" s="116"/>
      <c r="I24" s="111"/>
      <c r="J24" s="111"/>
      <c r="K24" s="111"/>
      <c r="L24" s="111"/>
      <c r="M24" s="117"/>
      <c r="N24" s="103"/>
      <c r="O24" s="103"/>
      <c r="P24" s="103"/>
      <c r="Q24" s="103"/>
      <c r="R24" s="103"/>
      <c r="S24" s="103"/>
      <c r="T24" s="38"/>
      <c r="U24" s="38"/>
      <c r="V24" s="38"/>
      <c r="W24" s="38"/>
      <c r="X24" s="38"/>
      <c r="Y24" s="38"/>
      <c r="Z24" s="38"/>
      <c r="AA24" s="38"/>
      <c r="AB24" s="38"/>
      <c r="AC24" s="38"/>
      <c r="AD24" s="38"/>
      <c r="AE24" s="38"/>
      <c r="AF24" s="38"/>
      <c r="AG24" s="38"/>
      <c r="AH24" s="38"/>
      <c r="AI24" s="38"/>
      <c r="AJ24" s="38"/>
      <c r="AK24" s="38"/>
    </row>
    <row r="25" spans="1:37" x14ac:dyDescent="0.2">
      <c r="A25" s="123" t="s">
        <v>36</v>
      </c>
      <c r="B25" s="113"/>
      <c r="C25" s="113"/>
      <c r="D25" s="113"/>
      <c r="E25" s="113"/>
      <c r="F25" s="113"/>
      <c r="G25" s="113"/>
      <c r="H25" s="114"/>
      <c r="I25" s="113"/>
      <c r="J25" s="113"/>
      <c r="K25" s="113"/>
      <c r="L25" s="113"/>
      <c r="M25" s="115"/>
      <c r="N25" s="103"/>
      <c r="O25" s="103"/>
      <c r="P25" s="103"/>
      <c r="Q25" s="103"/>
      <c r="R25" s="103"/>
      <c r="S25" s="103"/>
      <c r="T25" s="38"/>
      <c r="U25" s="38"/>
      <c r="V25" s="38"/>
      <c r="W25" s="38"/>
      <c r="X25" s="38"/>
      <c r="Y25" s="38"/>
      <c r="Z25" s="38"/>
      <c r="AA25" s="38"/>
      <c r="AB25" s="38"/>
      <c r="AC25" s="38"/>
      <c r="AD25" s="38"/>
      <c r="AE25" s="38"/>
      <c r="AF25" s="38"/>
      <c r="AG25" s="38"/>
      <c r="AH25" s="38"/>
      <c r="AI25" s="38"/>
      <c r="AJ25" s="38"/>
      <c r="AK25" s="38"/>
    </row>
    <row r="26" spans="1:37" x14ac:dyDescent="0.2">
      <c r="A26" s="124" t="s">
        <v>37</v>
      </c>
      <c r="B26" s="111"/>
      <c r="C26" s="111"/>
      <c r="D26" s="111"/>
      <c r="E26" s="111"/>
      <c r="F26" s="111"/>
      <c r="G26" s="111"/>
      <c r="H26" s="116"/>
      <c r="I26" s="111"/>
      <c r="J26" s="111"/>
      <c r="K26" s="111"/>
      <c r="L26" s="111"/>
      <c r="M26" s="117"/>
      <c r="N26" s="103"/>
      <c r="O26" s="103"/>
      <c r="P26" s="103"/>
      <c r="Q26" s="103"/>
      <c r="R26" s="103"/>
      <c r="S26" s="103"/>
      <c r="T26" s="38"/>
      <c r="U26" s="38"/>
      <c r="V26" s="38"/>
      <c r="W26" s="38"/>
      <c r="X26" s="38"/>
      <c r="Y26" s="38"/>
      <c r="Z26" s="38"/>
      <c r="AA26" s="38"/>
      <c r="AB26" s="38"/>
      <c r="AC26" s="38"/>
      <c r="AD26" s="38"/>
      <c r="AE26" s="38"/>
      <c r="AF26" s="38"/>
      <c r="AG26" s="38"/>
      <c r="AH26" s="38"/>
      <c r="AI26" s="38"/>
      <c r="AJ26" s="38"/>
      <c r="AK26" s="38"/>
    </row>
    <row r="27" spans="1:37" x14ac:dyDescent="0.2">
      <c r="A27" s="123" t="s">
        <v>24</v>
      </c>
      <c r="B27" s="118"/>
      <c r="C27" s="118"/>
      <c r="D27" s="118"/>
      <c r="E27" s="118"/>
      <c r="F27" s="118"/>
      <c r="G27" s="118"/>
      <c r="H27" s="119"/>
      <c r="I27" s="118"/>
      <c r="J27" s="118"/>
      <c r="K27" s="118"/>
      <c r="L27" s="118"/>
      <c r="M27" s="120"/>
      <c r="N27" s="103"/>
      <c r="O27" s="103"/>
      <c r="P27" s="103"/>
      <c r="Q27" s="103"/>
      <c r="R27" s="103"/>
      <c r="S27" s="103"/>
      <c r="T27" s="38"/>
      <c r="U27" s="38"/>
      <c r="V27" s="38"/>
      <c r="W27" s="38"/>
      <c r="X27" s="38"/>
      <c r="Y27" s="38"/>
      <c r="Z27" s="38"/>
      <c r="AA27" s="38"/>
      <c r="AB27" s="38"/>
      <c r="AC27" s="38"/>
      <c r="AD27" s="38"/>
      <c r="AE27" s="38"/>
      <c r="AF27" s="38"/>
      <c r="AG27" s="38"/>
      <c r="AH27" s="38"/>
      <c r="AI27" s="38"/>
      <c r="AJ27" s="38"/>
      <c r="AK27" s="38"/>
    </row>
    <row r="28" spans="1:37" ht="15" customHeight="1" thickBot="1" x14ac:dyDescent="0.25">
      <c r="A28" s="103"/>
      <c r="B28" s="103"/>
      <c r="C28" s="103"/>
      <c r="D28" s="103"/>
      <c r="E28" s="103"/>
      <c r="F28" s="103"/>
      <c r="G28" s="103"/>
      <c r="H28" s="103"/>
      <c r="I28" s="103"/>
      <c r="J28" s="103"/>
      <c r="K28" s="103"/>
      <c r="L28" s="103"/>
      <c r="M28" s="103"/>
      <c r="N28" s="103"/>
      <c r="O28" s="103"/>
      <c r="P28" s="103"/>
      <c r="Q28" s="103"/>
      <c r="R28" s="103"/>
      <c r="S28" s="103"/>
      <c r="T28" s="38"/>
      <c r="U28" s="38"/>
      <c r="V28" s="38"/>
      <c r="W28" s="38"/>
      <c r="X28" s="38"/>
      <c r="Y28" s="38"/>
      <c r="Z28" s="38"/>
      <c r="AA28" s="38"/>
      <c r="AB28" s="38"/>
      <c r="AC28" s="38"/>
      <c r="AD28" s="38"/>
      <c r="AE28" s="38"/>
      <c r="AF28" s="38"/>
      <c r="AG28" s="38"/>
      <c r="AH28" s="38"/>
      <c r="AI28" s="38"/>
      <c r="AJ28" s="38"/>
      <c r="AK28" s="38"/>
    </row>
    <row r="29" spans="1:37" ht="12.75" customHeight="1" x14ac:dyDescent="0.2">
      <c r="A29" s="105" t="s">
        <v>89</v>
      </c>
      <c r="B29" s="105"/>
      <c r="C29" s="105"/>
      <c r="D29" s="105"/>
      <c r="E29" s="105"/>
      <c r="F29" s="105"/>
      <c r="G29" s="105"/>
      <c r="H29" s="105"/>
      <c r="I29" s="105"/>
      <c r="J29" s="105"/>
      <c r="K29" s="105"/>
      <c r="L29" s="105"/>
      <c r="M29" s="105"/>
      <c r="N29" s="103"/>
      <c r="O29" s="103"/>
      <c r="P29" s="103"/>
      <c r="Q29" s="103"/>
      <c r="R29" s="103"/>
      <c r="S29" s="103"/>
      <c r="T29" s="38"/>
      <c r="U29" s="38"/>
      <c r="V29" s="38"/>
      <c r="W29" s="38"/>
      <c r="X29" s="38"/>
      <c r="Y29" s="38"/>
      <c r="Z29" s="38"/>
      <c r="AA29" s="38"/>
      <c r="AB29" s="38"/>
      <c r="AC29" s="38"/>
      <c r="AD29" s="38"/>
      <c r="AE29" s="38"/>
      <c r="AF29" s="38"/>
      <c r="AG29" s="38"/>
      <c r="AH29" s="38"/>
      <c r="AI29" s="38"/>
      <c r="AJ29" s="38"/>
      <c r="AK29" s="38"/>
    </row>
    <row r="30" spans="1:37" ht="15" customHeight="1" x14ac:dyDescent="0.2">
      <c r="A30" s="46"/>
      <c r="B30" s="46"/>
      <c r="C30" s="46"/>
      <c r="D30" s="46"/>
      <c r="E30" s="46"/>
      <c r="F30" s="46"/>
      <c r="G30" s="46"/>
      <c r="H30" s="46"/>
      <c r="I30" s="46"/>
      <c r="J30" s="46"/>
      <c r="K30" s="46"/>
      <c r="L30" s="103"/>
      <c r="M30" s="103"/>
      <c r="N30" s="103"/>
      <c r="O30" s="103"/>
      <c r="P30" s="103"/>
      <c r="Q30" s="103"/>
      <c r="R30" s="103"/>
      <c r="S30" s="103"/>
      <c r="T30" s="38"/>
      <c r="U30" s="38"/>
      <c r="V30" s="38"/>
      <c r="W30" s="38"/>
      <c r="X30" s="38"/>
      <c r="Y30" s="38"/>
      <c r="Z30" s="38"/>
      <c r="AA30" s="38"/>
      <c r="AB30" s="38"/>
      <c r="AC30" s="38"/>
      <c r="AD30" s="38"/>
      <c r="AE30" s="38"/>
      <c r="AF30" s="38"/>
      <c r="AG30" s="38"/>
      <c r="AH30" s="38"/>
      <c r="AI30" s="38"/>
      <c r="AJ30" s="38"/>
      <c r="AK30" s="38"/>
    </row>
    <row r="31" spans="1:37" ht="15.6" customHeight="1" x14ac:dyDescent="0.2">
      <c r="A31" s="179" t="s">
        <v>138</v>
      </c>
      <c r="B31" s="179"/>
      <c r="C31" s="179"/>
      <c r="D31" s="179"/>
      <c r="E31" s="179"/>
      <c r="F31" s="179"/>
      <c r="G31" s="179"/>
      <c r="H31" s="179"/>
      <c r="I31" s="179"/>
      <c r="J31" s="179"/>
      <c r="K31" s="179"/>
      <c r="L31" s="179"/>
      <c r="M31" s="179"/>
      <c r="N31" s="103"/>
      <c r="O31" s="103"/>
      <c r="P31" s="103"/>
      <c r="Q31" s="103"/>
      <c r="R31" s="103"/>
      <c r="S31" s="103"/>
      <c r="T31" s="38"/>
      <c r="U31" s="38"/>
      <c r="V31" s="38"/>
      <c r="W31" s="38"/>
      <c r="X31" s="38"/>
      <c r="Y31" s="38"/>
      <c r="Z31" s="38"/>
      <c r="AA31" s="38"/>
      <c r="AB31" s="38"/>
      <c r="AC31" s="38"/>
      <c r="AD31" s="38"/>
      <c r="AE31" s="38"/>
      <c r="AF31" s="38"/>
      <c r="AG31" s="38"/>
      <c r="AH31" s="38"/>
      <c r="AI31" s="38"/>
      <c r="AJ31" s="38"/>
      <c r="AK31" s="38"/>
    </row>
    <row r="32" spans="1:37" x14ac:dyDescent="0.2">
      <c r="A32" s="179"/>
      <c r="B32" s="179"/>
      <c r="C32" s="179"/>
      <c r="D32" s="179"/>
      <c r="E32" s="179"/>
      <c r="F32" s="179"/>
      <c r="G32" s="179"/>
      <c r="H32" s="179"/>
      <c r="I32" s="179"/>
      <c r="J32" s="179"/>
      <c r="K32" s="179"/>
      <c r="L32" s="179"/>
      <c r="M32" s="179"/>
      <c r="N32" s="103"/>
      <c r="O32" s="103"/>
      <c r="P32" s="103"/>
      <c r="Q32" s="103"/>
      <c r="R32" s="103"/>
      <c r="S32" s="103"/>
      <c r="T32" s="38"/>
      <c r="U32" s="38"/>
      <c r="V32" s="38"/>
      <c r="W32" s="38"/>
      <c r="X32" s="38"/>
      <c r="Y32" s="38"/>
      <c r="Z32" s="38"/>
      <c r="AA32" s="38"/>
      <c r="AB32" s="38"/>
      <c r="AC32" s="38"/>
      <c r="AD32" s="38"/>
      <c r="AE32" s="38"/>
      <c r="AF32" s="38"/>
      <c r="AG32" s="38"/>
      <c r="AH32" s="38"/>
      <c r="AI32" s="38"/>
      <c r="AJ32" s="38"/>
      <c r="AK32" s="38"/>
    </row>
    <row r="33" spans="1:37" x14ac:dyDescent="0.2">
      <c r="A33" s="179"/>
      <c r="B33" s="179"/>
      <c r="C33" s="179"/>
      <c r="D33" s="179"/>
      <c r="E33" s="179"/>
      <c r="F33" s="179"/>
      <c r="G33" s="179"/>
      <c r="H33" s="179"/>
      <c r="I33" s="179"/>
      <c r="J33" s="179"/>
      <c r="K33" s="179"/>
      <c r="L33" s="179"/>
      <c r="M33" s="179"/>
      <c r="N33" s="103"/>
      <c r="O33" s="103"/>
      <c r="P33" s="103"/>
      <c r="Q33" s="103"/>
      <c r="R33" s="103"/>
      <c r="S33" s="103"/>
      <c r="T33" s="38"/>
      <c r="U33" s="38"/>
      <c r="V33" s="38"/>
      <c r="W33" s="38"/>
      <c r="X33" s="38"/>
      <c r="Y33" s="38"/>
      <c r="Z33" s="38"/>
      <c r="AA33" s="38"/>
      <c r="AB33" s="38"/>
      <c r="AC33" s="38"/>
      <c r="AD33" s="38"/>
      <c r="AE33" s="38"/>
      <c r="AF33" s="38"/>
      <c r="AG33" s="38"/>
      <c r="AH33" s="38"/>
      <c r="AI33" s="38"/>
      <c r="AJ33" s="38"/>
      <c r="AK33" s="38"/>
    </row>
    <row r="34" spans="1:37" x14ac:dyDescent="0.2">
      <c r="A34" s="179"/>
      <c r="B34" s="179"/>
      <c r="C34" s="179"/>
      <c r="D34" s="179"/>
      <c r="E34" s="179"/>
      <c r="F34" s="179"/>
      <c r="G34" s="179"/>
      <c r="H34" s="179"/>
      <c r="I34" s="179"/>
      <c r="J34" s="179"/>
      <c r="K34" s="179"/>
      <c r="L34" s="179"/>
      <c r="M34" s="179"/>
      <c r="N34" s="103"/>
      <c r="O34" s="103"/>
      <c r="P34" s="103"/>
      <c r="Q34" s="103"/>
      <c r="R34" s="103"/>
      <c r="S34" s="103"/>
      <c r="T34" s="38"/>
      <c r="U34" s="38"/>
      <c r="V34" s="38"/>
      <c r="W34" s="38"/>
      <c r="X34" s="38"/>
      <c r="Y34" s="38"/>
      <c r="Z34" s="38"/>
      <c r="AA34" s="38"/>
      <c r="AB34" s="38"/>
      <c r="AC34" s="38"/>
      <c r="AD34" s="38"/>
      <c r="AE34" s="38"/>
      <c r="AF34" s="38"/>
      <c r="AG34" s="38"/>
      <c r="AH34" s="38"/>
      <c r="AI34" s="38"/>
      <c r="AJ34" s="38"/>
      <c r="AK34" s="38"/>
    </row>
    <row r="35" spans="1:37" ht="15" customHeight="1" x14ac:dyDescent="0.2">
      <c r="A35" s="150"/>
      <c r="B35" s="150"/>
      <c r="C35" s="150"/>
      <c r="D35" s="150"/>
      <c r="E35" s="150"/>
      <c r="F35" s="150"/>
      <c r="G35" s="150"/>
      <c r="H35" s="150"/>
      <c r="I35" s="150"/>
      <c r="J35" s="150"/>
      <c r="K35" s="150"/>
      <c r="L35" s="149"/>
      <c r="M35" s="149"/>
      <c r="N35" s="103"/>
      <c r="O35" s="103"/>
      <c r="P35" s="103"/>
      <c r="Q35" s="103"/>
      <c r="R35" s="103"/>
      <c r="S35" s="103"/>
      <c r="T35" s="38"/>
      <c r="U35" s="38"/>
      <c r="V35" s="38"/>
      <c r="W35" s="38"/>
      <c r="X35" s="38"/>
      <c r="Y35" s="38"/>
      <c r="Z35" s="38"/>
      <c r="AA35" s="38"/>
      <c r="AB35" s="38"/>
      <c r="AC35" s="38"/>
      <c r="AD35" s="38"/>
      <c r="AE35" s="38"/>
      <c r="AF35" s="38"/>
      <c r="AG35" s="38"/>
      <c r="AH35" s="38"/>
      <c r="AI35" s="38"/>
      <c r="AJ35" s="38"/>
      <c r="AK35" s="38"/>
    </row>
    <row r="36" spans="1:37" ht="15" customHeight="1" x14ac:dyDescent="0.2">
      <c r="A36" s="179" t="s">
        <v>139</v>
      </c>
      <c r="B36" s="179"/>
      <c r="C36" s="179"/>
      <c r="D36" s="179"/>
      <c r="E36" s="179"/>
      <c r="F36" s="179"/>
      <c r="G36" s="179"/>
      <c r="H36" s="179"/>
      <c r="I36" s="179"/>
      <c r="J36" s="179"/>
      <c r="K36" s="179"/>
      <c r="L36" s="179"/>
      <c r="M36" s="179"/>
      <c r="N36" s="103"/>
      <c r="O36" s="103"/>
      <c r="P36" s="103"/>
      <c r="Q36" s="103"/>
      <c r="R36" s="103"/>
      <c r="S36" s="103"/>
      <c r="T36" s="38"/>
      <c r="U36" s="38"/>
      <c r="V36" s="38"/>
      <c r="W36" s="38"/>
      <c r="X36" s="38"/>
      <c r="Y36" s="38"/>
      <c r="Z36" s="38"/>
      <c r="AA36" s="38"/>
      <c r="AB36" s="38"/>
      <c r="AC36" s="38"/>
      <c r="AD36" s="38"/>
      <c r="AE36" s="38"/>
      <c r="AF36" s="38"/>
      <c r="AG36" s="38"/>
      <c r="AH36" s="38"/>
      <c r="AI36" s="38"/>
      <c r="AJ36" s="38"/>
      <c r="AK36" s="38"/>
    </row>
    <row r="37" spans="1:37" ht="15" customHeight="1" x14ac:dyDescent="0.2">
      <c r="A37" s="179"/>
      <c r="B37" s="179"/>
      <c r="C37" s="179"/>
      <c r="D37" s="179"/>
      <c r="E37" s="179"/>
      <c r="F37" s="179"/>
      <c r="G37" s="179"/>
      <c r="H37" s="179"/>
      <c r="I37" s="179"/>
      <c r="J37" s="179"/>
      <c r="K37" s="179"/>
      <c r="L37" s="179"/>
      <c r="M37" s="179"/>
      <c r="N37" s="103"/>
      <c r="O37" s="103"/>
      <c r="P37" s="103"/>
      <c r="Q37" s="103"/>
      <c r="R37" s="103"/>
      <c r="S37" s="103"/>
      <c r="T37" s="38"/>
      <c r="U37" s="38"/>
      <c r="V37" s="38"/>
      <c r="W37" s="38"/>
      <c r="X37" s="38"/>
      <c r="Y37" s="38"/>
      <c r="Z37" s="38"/>
      <c r="AA37" s="38"/>
      <c r="AB37" s="38"/>
      <c r="AC37" s="38"/>
      <c r="AD37" s="38"/>
      <c r="AE37" s="38"/>
      <c r="AF37" s="38"/>
      <c r="AG37" s="38"/>
      <c r="AH37" s="38"/>
      <c r="AI37" s="38"/>
      <c r="AJ37" s="38"/>
      <c r="AK37" s="38"/>
    </row>
    <row r="38" spans="1:37" ht="15" customHeight="1" x14ac:dyDescent="0.2">
      <c r="A38" s="179"/>
      <c r="B38" s="179"/>
      <c r="C38" s="179"/>
      <c r="D38" s="179"/>
      <c r="E38" s="179"/>
      <c r="F38" s="179"/>
      <c r="G38" s="179"/>
      <c r="H38" s="179"/>
      <c r="I38" s="179"/>
      <c r="J38" s="179"/>
      <c r="K38" s="179"/>
      <c r="L38" s="179"/>
      <c r="M38" s="179"/>
      <c r="N38" s="103"/>
      <c r="O38" s="103"/>
      <c r="P38" s="103"/>
      <c r="Q38" s="103"/>
      <c r="R38" s="103"/>
      <c r="S38" s="103"/>
      <c r="T38" s="38"/>
      <c r="U38" s="38"/>
      <c r="V38" s="38"/>
      <c r="W38" s="38"/>
      <c r="X38" s="38"/>
      <c r="Y38" s="38"/>
      <c r="Z38" s="38"/>
      <c r="AA38" s="38"/>
      <c r="AB38" s="38"/>
      <c r="AC38" s="38"/>
      <c r="AD38" s="38"/>
      <c r="AE38" s="38"/>
      <c r="AF38" s="38"/>
      <c r="AG38" s="38"/>
      <c r="AH38" s="38"/>
      <c r="AI38" s="38"/>
      <c r="AJ38" s="38"/>
      <c r="AK38" s="38"/>
    </row>
    <row r="39" spans="1:37" ht="15" customHeight="1" x14ac:dyDescent="0.2">
      <c r="A39" s="179"/>
      <c r="B39" s="179"/>
      <c r="C39" s="179"/>
      <c r="D39" s="179"/>
      <c r="E39" s="179"/>
      <c r="F39" s="179"/>
      <c r="G39" s="179"/>
      <c r="H39" s="179"/>
      <c r="I39" s="179"/>
      <c r="J39" s="179"/>
      <c r="K39" s="179"/>
      <c r="L39" s="179"/>
      <c r="M39" s="179"/>
      <c r="N39" s="103"/>
      <c r="O39" s="103"/>
      <c r="P39" s="103"/>
      <c r="Q39" s="103"/>
      <c r="R39" s="103"/>
      <c r="S39" s="103"/>
      <c r="T39" s="38"/>
      <c r="U39" s="38"/>
      <c r="V39" s="38"/>
      <c r="W39" s="38"/>
      <c r="X39" s="38"/>
      <c r="Y39" s="38"/>
      <c r="Z39" s="38"/>
      <c r="AA39" s="38"/>
      <c r="AB39" s="38"/>
      <c r="AC39" s="38"/>
      <c r="AD39" s="38"/>
      <c r="AE39" s="38"/>
      <c r="AF39" s="38"/>
      <c r="AG39" s="38"/>
      <c r="AH39" s="38"/>
      <c r="AI39" s="38"/>
      <c r="AJ39" s="38"/>
      <c r="AK39" s="38"/>
    </row>
    <row r="40" spans="1:37" ht="15" customHeight="1" x14ac:dyDescent="0.2">
      <c r="A40" s="150"/>
      <c r="B40" s="150"/>
      <c r="C40" s="150"/>
      <c r="D40" s="150"/>
      <c r="E40" s="150"/>
      <c r="F40" s="150"/>
      <c r="G40" s="150"/>
      <c r="H40" s="150"/>
      <c r="I40" s="150"/>
      <c r="J40" s="150"/>
      <c r="K40" s="150"/>
      <c r="L40" s="149"/>
      <c r="M40" s="149"/>
      <c r="N40" s="103"/>
      <c r="O40" s="103"/>
      <c r="P40" s="103"/>
      <c r="Q40" s="103"/>
      <c r="R40" s="103"/>
      <c r="S40" s="103"/>
      <c r="T40" s="38"/>
      <c r="U40" s="38"/>
      <c r="V40" s="38"/>
      <c r="W40" s="38"/>
      <c r="X40" s="38"/>
      <c r="Y40" s="38"/>
      <c r="Z40" s="38"/>
      <c r="AA40" s="38"/>
      <c r="AB40" s="38"/>
      <c r="AC40" s="38"/>
      <c r="AD40" s="38"/>
      <c r="AE40" s="38"/>
      <c r="AF40" s="38"/>
      <c r="AG40" s="38"/>
      <c r="AH40" s="38"/>
      <c r="AI40" s="38"/>
      <c r="AJ40" s="38"/>
      <c r="AK40" s="38"/>
    </row>
    <row r="41" spans="1:37" x14ac:dyDescent="0.2">
      <c r="A41" s="196" t="s">
        <v>150</v>
      </c>
      <c r="B41" s="196"/>
      <c r="C41" s="196"/>
      <c r="D41" s="196"/>
      <c r="E41" s="196"/>
      <c r="F41" s="196"/>
      <c r="G41" s="196"/>
      <c r="H41" s="196"/>
      <c r="I41" s="196"/>
      <c r="J41" s="196"/>
      <c r="K41" s="196"/>
      <c r="L41" s="103"/>
      <c r="M41" s="103"/>
      <c r="N41" s="103"/>
      <c r="O41" s="103"/>
      <c r="P41" s="103"/>
      <c r="Q41" s="103"/>
      <c r="R41" s="103"/>
      <c r="S41" s="103"/>
      <c r="T41" s="38"/>
      <c r="U41" s="38"/>
      <c r="V41" s="38"/>
      <c r="W41" s="38"/>
      <c r="X41" s="38"/>
      <c r="Y41" s="38"/>
      <c r="Z41" s="38"/>
      <c r="AA41" s="38"/>
      <c r="AB41" s="38"/>
      <c r="AC41" s="38"/>
      <c r="AD41" s="38"/>
      <c r="AE41" s="38"/>
      <c r="AF41" s="38"/>
      <c r="AG41" s="38"/>
      <c r="AH41" s="38"/>
      <c r="AI41" s="38"/>
      <c r="AJ41" s="38"/>
      <c r="AK41" s="38"/>
    </row>
    <row r="42" spans="1:37" ht="15" customHeight="1" thickBot="1" x14ac:dyDescent="0.25">
      <c r="A42" s="121"/>
      <c r="B42" s="121"/>
      <c r="C42" s="121"/>
      <c r="D42" s="121"/>
      <c r="E42" s="121"/>
      <c r="F42" s="121"/>
      <c r="G42" s="121"/>
      <c r="H42" s="121"/>
      <c r="I42" s="121"/>
      <c r="J42" s="121"/>
      <c r="K42" s="46"/>
      <c r="L42" s="46"/>
      <c r="M42" s="46"/>
      <c r="N42" s="103"/>
      <c r="O42" s="103"/>
      <c r="P42" s="103"/>
      <c r="Q42" s="103"/>
      <c r="R42" s="103"/>
      <c r="S42" s="103"/>
      <c r="T42" s="38"/>
      <c r="U42" s="38"/>
      <c r="V42" s="38"/>
      <c r="W42" s="38"/>
      <c r="X42" s="38"/>
      <c r="Y42" s="38"/>
      <c r="Z42" s="38"/>
      <c r="AA42" s="38"/>
      <c r="AB42" s="38"/>
      <c r="AC42" s="38"/>
      <c r="AD42" s="38"/>
      <c r="AE42" s="38"/>
      <c r="AF42" s="38"/>
      <c r="AG42" s="38"/>
      <c r="AH42" s="38"/>
      <c r="AI42" s="38"/>
      <c r="AJ42" s="38"/>
      <c r="AK42" s="38"/>
    </row>
    <row r="43" spans="1:37" ht="15.75" x14ac:dyDescent="0.2">
      <c r="A43" s="156" t="s">
        <v>90</v>
      </c>
      <c r="B43" s="156"/>
      <c r="C43" s="156"/>
      <c r="D43" s="156"/>
      <c r="E43" s="156"/>
      <c r="F43" s="156"/>
      <c r="G43" s="156"/>
      <c r="H43" s="156"/>
      <c r="I43" s="156"/>
      <c r="J43" s="156"/>
      <c r="K43" s="156"/>
      <c r="L43" s="103"/>
      <c r="M43" s="103"/>
      <c r="N43" s="103"/>
      <c r="O43" s="103"/>
      <c r="P43" s="103"/>
      <c r="Q43" s="103"/>
      <c r="R43" s="103"/>
      <c r="S43" s="103"/>
      <c r="T43" s="38"/>
      <c r="U43" s="38"/>
      <c r="V43" s="38"/>
      <c r="W43" s="38"/>
      <c r="X43" s="38"/>
      <c r="Y43" s="38"/>
      <c r="Z43" s="38"/>
      <c r="AA43" s="38"/>
      <c r="AB43" s="38"/>
      <c r="AC43" s="38"/>
      <c r="AD43" s="38"/>
      <c r="AE43" s="38"/>
      <c r="AF43" s="38"/>
      <c r="AG43" s="38"/>
      <c r="AH43" s="38"/>
      <c r="AI43" s="38"/>
      <c r="AJ43" s="38"/>
      <c r="AK43" s="38"/>
    </row>
    <row r="44" spans="1:37" ht="15.75" x14ac:dyDescent="0.2">
      <c r="A44" s="158"/>
      <c r="B44" s="158"/>
      <c r="C44" s="158"/>
      <c r="D44" s="158"/>
      <c r="E44" s="158"/>
      <c r="F44" s="158"/>
      <c r="G44" s="158"/>
      <c r="H44" s="158"/>
      <c r="I44" s="158"/>
      <c r="J44" s="158"/>
      <c r="K44" s="158"/>
      <c r="L44" s="103"/>
      <c r="M44" s="103"/>
      <c r="N44" s="103"/>
      <c r="O44" s="103"/>
      <c r="P44" s="103"/>
      <c r="Q44" s="103"/>
      <c r="R44" s="103"/>
      <c r="S44" s="103"/>
      <c r="T44" s="38"/>
      <c r="U44" s="38"/>
      <c r="V44" s="38"/>
      <c r="W44" s="38"/>
      <c r="X44" s="38"/>
      <c r="Y44" s="38"/>
      <c r="Z44" s="38"/>
      <c r="AA44" s="38"/>
      <c r="AB44" s="38"/>
      <c r="AC44" s="38"/>
      <c r="AD44" s="38"/>
      <c r="AE44" s="38"/>
      <c r="AF44" s="38"/>
      <c r="AG44" s="38"/>
      <c r="AH44" s="38"/>
      <c r="AI44" s="38"/>
      <c r="AJ44" s="38"/>
      <c r="AK44" s="38"/>
    </row>
    <row r="45" spans="1:37" ht="15.75" x14ac:dyDescent="0.2">
      <c r="A45" s="160" t="s">
        <v>142</v>
      </c>
      <c r="B45" s="162" t="s">
        <v>143</v>
      </c>
      <c r="C45" s="158"/>
      <c r="D45" s="158"/>
      <c r="E45" s="158"/>
      <c r="F45" s="158"/>
      <c r="G45" s="158"/>
      <c r="H45" s="158"/>
      <c r="I45" s="158"/>
      <c r="J45" s="158"/>
      <c r="K45" s="158"/>
      <c r="L45" s="103"/>
      <c r="M45" s="103"/>
      <c r="N45" s="103"/>
      <c r="O45" s="103"/>
      <c r="P45" s="103"/>
      <c r="Q45" s="103"/>
      <c r="R45" s="103"/>
      <c r="S45" s="103"/>
      <c r="T45" s="38"/>
      <c r="U45" s="38"/>
      <c r="V45" s="38"/>
      <c r="W45" s="38"/>
      <c r="X45" s="38"/>
      <c r="Y45" s="38"/>
      <c r="Z45" s="38"/>
      <c r="AA45" s="38"/>
      <c r="AB45" s="38"/>
      <c r="AC45" s="38"/>
      <c r="AD45" s="38"/>
      <c r="AE45" s="38"/>
      <c r="AF45" s="38"/>
      <c r="AG45" s="38"/>
      <c r="AH45" s="38"/>
      <c r="AI45" s="38"/>
      <c r="AJ45" s="38"/>
      <c r="AK45" s="38"/>
    </row>
    <row r="46" spans="1:37" ht="15" customHeight="1" x14ac:dyDescent="0.2">
      <c r="A46" s="191" t="s">
        <v>112</v>
      </c>
      <c r="B46" s="192" t="s">
        <v>153</v>
      </c>
      <c r="C46" s="193"/>
      <c r="D46" s="193"/>
      <c r="E46" s="193"/>
      <c r="F46" s="193"/>
      <c r="G46" s="193"/>
      <c r="H46" s="193"/>
      <c r="I46" s="193"/>
      <c r="J46" s="193"/>
      <c r="K46" s="193"/>
      <c r="L46" s="103"/>
      <c r="M46" s="103"/>
      <c r="N46" s="103"/>
      <c r="O46" s="103"/>
      <c r="P46" s="103"/>
      <c r="Q46" s="103"/>
      <c r="R46" s="103"/>
      <c r="S46" s="103"/>
      <c r="T46" s="38"/>
      <c r="U46" s="38"/>
      <c r="V46" s="38"/>
      <c r="W46" s="38"/>
      <c r="X46" s="38"/>
      <c r="Y46" s="38"/>
      <c r="Z46" s="38"/>
      <c r="AA46" s="38"/>
      <c r="AB46" s="38"/>
      <c r="AC46" s="38"/>
      <c r="AD46" s="38"/>
      <c r="AE46" s="38"/>
      <c r="AF46" s="38"/>
      <c r="AG46" s="38"/>
      <c r="AH46" s="38"/>
      <c r="AI46" s="38"/>
      <c r="AJ46" s="38"/>
      <c r="AK46" s="38"/>
    </row>
    <row r="47" spans="1:37" ht="15" customHeight="1" x14ac:dyDescent="0.2">
      <c r="A47" s="191"/>
      <c r="B47" s="193"/>
      <c r="C47" s="193"/>
      <c r="D47" s="193"/>
      <c r="E47" s="193"/>
      <c r="F47" s="193"/>
      <c r="G47" s="193"/>
      <c r="H47" s="193"/>
      <c r="I47" s="193"/>
      <c r="J47" s="193"/>
      <c r="K47" s="193"/>
      <c r="L47" s="103"/>
      <c r="M47" s="103"/>
      <c r="N47" s="103"/>
      <c r="O47" s="103"/>
      <c r="P47" s="103"/>
      <c r="Q47" s="103"/>
      <c r="R47" s="103"/>
      <c r="S47" s="103"/>
      <c r="T47" s="38"/>
      <c r="U47" s="38"/>
      <c r="V47" s="38"/>
      <c r="W47" s="38"/>
      <c r="X47" s="38"/>
      <c r="Y47" s="38"/>
      <c r="Z47" s="38"/>
      <c r="AA47" s="38"/>
      <c r="AB47" s="38"/>
      <c r="AC47" s="38"/>
      <c r="AD47" s="38"/>
      <c r="AE47" s="38"/>
      <c r="AF47" s="38"/>
      <c r="AG47" s="38"/>
      <c r="AH47" s="38"/>
      <c r="AI47" s="38"/>
      <c r="AJ47" s="38"/>
      <c r="AK47" s="38"/>
    </row>
    <row r="48" spans="1:37" ht="15" customHeight="1" x14ac:dyDescent="0.2">
      <c r="A48" s="159"/>
      <c r="B48" s="193"/>
      <c r="C48" s="193"/>
      <c r="D48" s="193"/>
      <c r="E48" s="193"/>
      <c r="F48" s="193"/>
      <c r="G48" s="193"/>
      <c r="H48" s="193"/>
      <c r="I48" s="193"/>
      <c r="J48" s="193"/>
      <c r="K48" s="193"/>
      <c r="L48" s="103"/>
      <c r="M48" s="103"/>
      <c r="N48" s="103"/>
      <c r="O48" s="103"/>
      <c r="P48" s="103"/>
      <c r="Q48" s="103"/>
      <c r="R48" s="103"/>
      <c r="S48" s="103"/>
      <c r="T48" s="38"/>
      <c r="U48" s="38"/>
      <c r="V48" s="38"/>
      <c r="W48" s="38"/>
      <c r="X48" s="38"/>
      <c r="Y48" s="38"/>
      <c r="Z48" s="38"/>
      <c r="AA48" s="38"/>
      <c r="AB48" s="38"/>
      <c r="AC48" s="38"/>
      <c r="AD48" s="38"/>
      <c r="AE48" s="38"/>
      <c r="AF48" s="38"/>
      <c r="AG48" s="38"/>
      <c r="AH48" s="38"/>
      <c r="AI48" s="38"/>
      <c r="AJ48" s="38"/>
      <c r="AK48" s="38"/>
    </row>
    <row r="49" spans="1:37" ht="15" customHeight="1" x14ac:dyDescent="0.2">
      <c r="A49" s="157"/>
      <c r="B49" s="193"/>
      <c r="C49" s="193"/>
      <c r="D49" s="193"/>
      <c r="E49" s="193"/>
      <c r="F49" s="193"/>
      <c r="G49" s="193"/>
      <c r="H49" s="193"/>
      <c r="I49" s="193"/>
      <c r="J49" s="193"/>
      <c r="K49" s="193"/>
      <c r="L49" s="103"/>
      <c r="M49" s="103"/>
      <c r="N49" s="103"/>
      <c r="O49" s="103"/>
      <c r="P49" s="103"/>
      <c r="Q49" s="103"/>
      <c r="R49" s="103"/>
      <c r="S49" s="103"/>
      <c r="T49" s="38"/>
      <c r="U49" s="38"/>
      <c r="V49" s="38"/>
      <c r="W49" s="38"/>
      <c r="X49" s="38"/>
      <c r="Y49" s="38"/>
      <c r="Z49" s="38"/>
      <c r="AA49" s="38"/>
      <c r="AB49" s="38"/>
      <c r="AC49" s="38"/>
      <c r="AD49" s="38"/>
      <c r="AE49" s="38"/>
      <c r="AF49" s="38"/>
      <c r="AG49" s="38"/>
      <c r="AH49" s="38"/>
      <c r="AI49" s="38"/>
      <c r="AJ49" s="38"/>
      <c r="AK49" s="38"/>
    </row>
    <row r="50" spans="1:37" ht="15" customHeight="1" x14ac:dyDescent="0.2">
      <c r="A50" s="157"/>
      <c r="B50" s="193"/>
      <c r="C50" s="193"/>
      <c r="D50" s="193"/>
      <c r="E50" s="193"/>
      <c r="F50" s="193"/>
      <c r="G50" s="193"/>
      <c r="H50" s="193"/>
      <c r="I50" s="193"/>
      <c r="J50" s="193"/>
      <c r="K50" s="193"/>
      <c r="L50" s="103"/>
      <c r="M50" s="103"/>
      <c r="N50" s="103"/>
      <c r="O50" s="103"/>
      <c r="P50" s="103"/>
      <c r="Q50" s="103"/>
      <c r="R50" s="103"/>
      <c r="S50" s="103"/>
      <c r="T50" s="38"/>
      <c r="U50" s="38"/>
      <c r="V50" s="38"/>
      <c r="W50" s="38"/>
      <c r="X50" s="38"/>
      <c r="Y50" s="38"/>
      <c r="Z50" s="38"/>
      <c r="AA50" s="38"/>
      <c r="AB50" s="38"/>
      <c r="AC50" s="38"/>
      <c r="AD50" s="38"/>
      <c r="AE50" s="38"/>
      <c r="AF50" s="38"/>
      <c r="AG50" s="38"/>
      <c r="AH50" s="38"/>
      <c r="AI50" s="38"/>
      <c r="AJ50" s="38"/>
      <c r="AK50" s="38"/>
    </row>
    <row r="51" spans="1:37" ht="15.75" x14ac:dyDescent="0.2">
      <c r="A51" s="160" t="s">
        <v>91</v>
      </c>
      <c r="B51" s="157" t="s">
        <v>144</v>
      </c>
      <c r="C51" s="157"/>
      <c r="D51" s="157"/>
      <c r="E51" s="157"/>
      <c r="F51" s="157"/>
      <c r="G51" s="157"/>
      <c r="H51" s="157"/>
      <c r="I51" s="157"/>
      <c r="J51" s="157"/>
      <c r="K51" s="157"/>
      <c r="L51" s="103"/>
      <c r="M51" s="103"/>
      <c r="N51" s="103"/>
      <c r="O51" s="103"/>
      <c r="P51" s="103"/>
      <c r="Q51" s="103"/>
      <c r="R51" s="103"/>
      <c r="S51" s="103"/>
      <c r="T51" s="38"/>
      <c r="U51" s="38"/>
      <c r="V51" s="38"/>
      <c r="W51" s="38"/>
      <c r="X51" s="38"/>
      <c r="Y51" s="38"/>
      <c r="Z51" s="38"/>
      <c r="AA51" s="38"/>
      <c r="AB51" s="38"/>
      <c r="AC51" s="38"/>
      <c r="AD51" s="38"/>
      <c r="AE51" s="38"/>
      <c r="AF51" s="38"/>
      <c r="AG51" s="38"/>
      <c r="AH51" s="38"/>
      <c r="AI51" s="38"/>
      <c r="AJ51" s="38"/>
      <c r="AK51" s="38"/>
    </row>
    <row r="52" spans="1:37" ht="15.75" x14ac:dyDescent="0.2">
      <c r="A52" s="161" t="s">
        <v>92</v>
      </c>
      <c r="B52" s="165" t="s">
        <v>145</v>
      </c>
      <c r="C52" s="162"/>
      <c r="D52" s="162"/>
      <c r="E52" s="162"/>
      <c r="F52" s="162"/>
      <c r="G52" s="162"/>
      <c r="H52" s="162"/>
      <c r="I52" s="162"/>
      <c r="J52" s="162"/>
      <c r="K52" s="162"/>
      <c r="L52" s="103"/>
      <c r="M52" s="103"/>
      <c r="N52" s="103"/>
      <c r="O52" s="103"/>
      <c r="P52" s="103"/>
      <c r="Q52" s="103"/>
      <c r="R52" s="103"/>
      <c r="S52" s="103"/>
      <c r="T52" s="38"/>
      <c r="U52" s="38"/>
      <c r="V52" s="38"/>
      <c r="W52" s="38"/>
      <c r="X52" s="38"/>
      <c r="Y52" s="38"/>
      <c r="Z52" s="38"/>
      <c r="AA52" s="38"/>
      <c r="AB52" s="38"/>
      <c r="AC52" s="38"/>
      <c r="AD52" s="38"/>
      <c r="AE52" s="38"/>
      <c r="AF52" s="38"/>
      <c r="AG52" s="38"/>
      <c r="AH52" s="38"/>
      <c r="AI52" s="38"/>
      <c r="AJ52" s="38"/>
      <c r="AK52" s="38"/>
    </row>
    <row r="53" spans="1:37" ht="15.75" x14ac:dyDescent="0.2">
      <c r="A53" s="161" t="s">
        <v>93</v>
      </c>
      <c r="B53" s="190" t="s">
        <v>94</v>
      </c>
      <c r="C53" s="190"/>
      <c r="D53" s="190"/>
      <c r="E53" s="190"/>
      <c r="F53" s="190"/>
      <c r="G53" s="190"/>
      <c r="H53" s="190"/>
      <c r="I53" s="190"/>
      <c r="J53" s="190"/>
      <c r="K53" s="190"/>
      <c r="L53" s="103"/>
      <c r="M53" s="103"/>
      <c r="N53" s="103"/>
      <c r="O53" s="103"/>
      <c r="P53" s="103"/>
      <c r="Q53" s="103"/>
      <c r="R53" s="103"/>
      <c r="S53" s="103"/>
      <c r="T53" s="38"/>
      <c r="U53" s="38"/>
      <c r="V53" s="38"/>
      <c r="W53" s="38"/>
      <c r="X53" s="38"/>
      <c r="Y53" s="38"/>
      <c r="Z53" s="38"/>
      <c r="AA53" s="38"/>
      <c r="AB53" s="38"/>
      <c r="AC53" s="38"/>
      <c r="AD53" s="38"/>
      <c r="AE53" s="38"/>
      <c r="AF53" s="38"/>
      <c r="AG53" s="38"/>
      <c r="AH53" s="38"/>
      <c r="AI53" s="38"/>
      <c r="AJ53" s="38"/>
      <c r="AK53" s="38"/>
    </row>
    <row r="54" spans="1:37" ht="16.5" thickBot="1" x14ac:dyDescent="0.25">
      <c r="A54" s="163"/>
      <c r="B54" s="164"/>
      <c r="C54" s="163"/>
      <c r="D54" s="163"/>
      <c r="E54" s="163"/>
      <c r="F54" s="163"/>
      <c r="G54" s="163"/>
      <c r="H54" s="163"/>
      <c r="I54" s="163"/>
      <c r="J54" s="163"/>
      <c r="K54" s="163"/>
      <c r="L54" s="103"/>
      <c r="M54" s="103"/>
      <c r="N54" s="103"/>
      <c r="O54" s="103"/>
      <c r="P54" s="103"/>
      <c r="Q54" s="103"/>
      <c r="R54" s="103"/>
      <c r="S54" s="103"/>
      <c r="T54" s="38"/>
      <c r="U54" s="38"/>
      <c r="V54" s="38"/>
      <c r="W54" s="38"/>
      <c r="X54" s="38"/>
      <c r="Y54" s="38"/>
      <c r="Z54" s="38"/>
      <c r="AA54" s="38"/>
      <c r="AB54" s="38"/>
      <c r="AC54" s="38"/>
      <c r="AD54" s="38"/>
      <c r="AE54" s="38"/>
      <c r="AF54" s="38"/>
      <c r="AG54" s="38"/>
      <c r="AH54" s="38"/>
      <c r="AI54" s="38"/>
      <c r="AJ54" s="38"/>
      <c r="AK54" s="38"/>
    </row>
    <row r="55" spans="1:37" x14ac:dyDescent="0.2">
      <c r="A55" s="103"/>
      <c r="B55" s="103"/>
      <c r="C55" s="103"/>
      <c r="D55" s="103"/>
      <c r="E55" s="103"/>
      <c r="F55" s="103"/>
      <c r="G55" s="103"/>
      <c r="H55" s="103"/>
      <c r="I55" s="103"/>
      <c r="J55" s="103"/>
      <c r="K55" s="103"/>
      <c r="L55" s="103"/>
      <c r="M55" s="103"/>
      <c r="N55" s="103"/>
      <c r="O55" s="103"/>
      <c r="P55" s="103"/>
      <c r="Q55" s="103"/>
      <c r="R55" s="103"/>
      <c r="S55" s="103"/>
      <c r="T55" s="38"/>
      <c r="U55" s="38"/>
      <c r="V55" s="38"/>
      <c r="W55" s="38"/>
      <c r="X55" s="38"/>
      <c r="Y55" s="38"/>
      <c r="Z55" s="38"/>
      <c r="AA55" s="38"/>
      <c r="AB55" s="38"/>
      <c r="AC55" s="38"/>
      <c r="AD55" s="38"/>
      <c r="AE55" s="38"/>
      <c r="AF55" s="38"/>
      <c r="AG55" s="38"/>
      <c r="AH55" s="38"/>
      <c r="AI55" s="38"/>
      <c r="AJ55" s="38"/>
      <c r="AK55" s="38"/>
    </row>
    <row r="56" spans="1:37" x14ac:dyDescent="0.2">
      <c r="A56" s="103"/>
      <c r="B56" s="103"/>
      <c r="C56" s="103"/>
      <c r="D56" s="103"/>
      <c r="E56" s="103"/>
      <c r="F56" s="103"/>
      <c r="G56" s="103"/>
      <c r="H56" s="103"/>
      <c r="I56" s="103"/>
      <c r="J56" s="103"/>
      <c r="K56" s="103"/>
      <c r="L56" s="103"/>
      <c r="M56" s="103"/>
      <c r="N56" s="103"/>
      <c r="O56" s="103"/>
      <c r="P56" s="103"/>
      <c r="Q56" s="103"/>
      <c r="R56" s="103"/>
      <c r="S56" s="103"/>
      <c r="T56" s="38"/>
      <c r="U56" s="38"/>
      <c r="V56" s="38"/>
      <c r="W56" s="38"/>
      <c r="X56" s="38"/>
      <c r="Y56" s="38"/>
      <c r="Z56" s="38"/>
      <c r="AA56" s="38"/>
      <c r="AB56" s="38"/>
      <c r="AC56" s="38"/>
      <c r="AD56" s="38"/>
      <c r="AE56" s="38"/>
      <c r="AF56" s="38"/>
      <c r="AG56" s="38"/>
      <c r="AH56" s="38"/>
      <c r="AI56" s="38"/>
      <c r="AJ56" s="38"/>
      <c r="AK56" s="38"/>
    </row>
    <row r="57" spans="1:37" x14ac:dyDescent="0.2">
      <c r="A57" s="103"/>
      <c r="B57" s="103"/>
      <c r="C57" s="103"/>
      <c r="D57" s="103"/>
      <c r="E57" s="103"/>
      <c r="F57" s="103"/>
      <c r="G57" s="103"/>
      <c r="H57" s="103"/>
      <c r="I57" s="103"/>
      <c r="J57" s="103"/>
      <c r="K57" s="103"/>
      <c r="L57" s="103"/>
      <c r="M57" s="103"/>
      <c r="N57" s="103"/>
      <c r="O57" s="103"/>
      <c r="P57" s="103"/>
      <c r="Q57" s="103"/>
      <c r="R57" s="103"/>
      <c r="S57" s="103"/>
      <c r="T57" s="38"/>
      <c r="U57" s="38"/>
      <c r="V57" s="38"/>
      <c r="W57" s="38"/>
      <c r="X57" s="38"/>
      <c r="Y57" s="38"/>
      <c r="Z57" s="38"/>
      <c r="AA57" s="38"/>
      <c r="AB57" s="38"/>
      <c r="AC57" s="38"/>
      <c r="AD57" s="38"/>
      <c r="AE57" s="38"/>
      <c r="AF57" s="38"/>
      <c r="AG57" s="38"/>
      <c r="AH57" s="38"/>
      <c r="AI57" s="38"/>
      <c r="AJ57" s="38"/>
      <c r="AK57" s="38"/>
    </row>
    <row r="58" spans="1:37" x14ac:dyDescent="0.2">
      <c r="A58" s="103"/>
      <c r="B58" s="103"/>
      <c r="C58" s="103"/>
      <c r="D58" s="103"/>
      <c r="E58" s="103"/>
      <c r="F58" s="103"/>
      <c r="G58" s="103"/>
      <c r="H58" s="103"/>
      <c r="I58" s="103"/>
      <c r="J58" s="103"/>
      <c r="K58" s="103"/>
      <c r="L58" s="103"/>
      <c r="M58" s="103"/>
      <c r="N58" s="103"/>
      <c r="O58" s="103"/>
      <c r="P58" s="103"/>
      <c r="Q58" s="103"/>
      <c r="R58" s="103"/>
      <c r="S58" s="103"/>
      <c r="T58" s="38"/>
      <c r="U58" s="38"/>
      <c r="V58" s="38"/>
      <c r="W58" s="38"/>
      <c r="X58" s="38"/>
      <c r="Y58" s="38"/>
      <c r="Z58" s="38"/>
      <c r="AA58" s="38"/>
      <c r="AB58" s="38"/>
      <c r="AC58" s="38"/>
      <c r="AD58" s="38"/>
      <c r="AE58" s="38"/>
      <c r="AF58" s="38"/>
      <c r="AG58" s="38"/>
      <c r="AH58" s="38"/>
      <c r="AI58" s="38"/>
      <c r="AJ58" s="38"/>
      <c r="AK58" s="38"/>
    </row>
    <row r="59" spans="1:37" x14ac:dyDescent="0.2">
      <c r="A59" s="103"/>
      <c r="B59" s="103"/>
      <c r="C59" s="103"/>
      <c r="D59" s="103"/>
      <c r="E59" s="103"/>
      <c r="F59" s="103"/>
      <c r="G59" s="103"/>
      <c r="H59" s="103"/>
      <c r="I59" s="103"/>
      <c r="J59" s="103"/>
      <c r="K59" s="103"/>
      <c r="L59" s="103"/>
      <c r="M59" s="103"/>
      <c r="N59" s="103"/>
      <c r="O59" s="103"/>
      <c r="P59" s="103"/>
      <c r="Q59" s="103"/>
      <c r="R59" s="103"/>
      <c r="S59" s="103"/>
      <c r="T59" s="38"/>
      <c r="U59" s="38"/>
      <c r="V59" s="38"/>
      <c r="W59" s="38"/>
      <c r="X59" s="38"/>
      <c r="Y59" s="38"/>
      <c r="Z59" s="38"/>
      <c r="AA59" s="38"/>
      <c r="AB59" s="38"/>
      <c r="AC59" s="38"/>
      <c r="AD59" s="38"/>
      <c r="AE59" s="38"/>
      <c r="AF59" s="38"/>
      <c r="AG59" s="38"/>
      <c r="AH59" s="38"/>
      <c r="AI59" s="38"/>
      <c r="AJ59" s="38"/>
      <c r="AK59" s="38"/>
    </row>
    <row r="60" spans="1:37" x14ac:dyDescent="0.2">
      <c r="A60" s="103"/>
      <c r="B60" s="103"/>
      <c r="C60" s="103"/>
      <c r="D60" s="103"/>
      <c r="E60" s="103"/>
      <c r="F60" s="103"/>
      <c r="G60" s="103"/>
      <c r="H60" s="103"/>
      <c r="I60" s="103"/>
      <c r="J60" s="103"/>
      <c r="K60" s="103"/>
      <c r="L60" s="103"/>
      <c r="M60" s="103"/>
      <c r="N60" s="103"/>
      <c r="O60" s="103"/>
      <c r="P60" s="103"/>
      <c r="Q60" s="103"/>
      <c r="R60" s="103"/>
      <c r="S60" s="103"/>
    </row>
  </sheetData>
  <mergeCells count="32">
    <mergeCell ref="B53:K53"/>
    <mergeCell ref="A46:A47"/>
    <mergeCell ref="B46:K50"/>
    <mergeCell ref="A3:M3"/>
    <mergeCell ref="A41:I41"/>
    <mergeCell ref="J41:K41"/>
    <mergeCell ref="F18:G18"/>
    <mergeCell ref="F17:G17"/>
    <mergeCell ref="F16:G16"/>
    <mergeCell ref="F15:G15"/>
    <mergeCell ref="F14:G14"/>
    <mergeCell ref="D16:E16"/>
    <mergeCell ref="D15:E15"/>
    <mergeCell ref="D14:E14"/>
    <mergeCell ref="A5:G5"/>
    <mergeCell ref="A4:K4"/>
    <mergeCell ref="A10:K10"/>
    <mergeCell ref="B16:C16"/>
    <mergeCell ref="B15:C15"/>
    <mergeCell ref="B14:C14"/>
    <mergeCell ref="A11:K11"/>
    <mergeCell ref="A31:M34"/>
    <mergeCell ref="A36:M39"/>
    <mergeCell ref="L15:M15"/>
    <mergeCell ref="L14:M14"/>
    <mergeCell ref="H18:I18"/>
    <mergeCell ref="H17:I17"/>
    <mergeCell ref="H16:I16"/>
    <mergeCell ref="H15:I15"/>
    <mergeCell ref="H14:I14"/>
    <mergeCell ref="J15:K15"/>
    <mergeCell ref="J14:K14"/>
  </mergeCells>
  <hyperlinks>
    <hyperlink ref="A5:G5" r:id="rId1" display="Click here fore more information" xr:uid="{00000000-0004-0000-0600-000002000000}"/>
    <hyperlink ref="B52" r:id="rId2" xr:uid="{00000000-0004-0000-0600-000000000000}"/>
    <hyperlink ref="B53:C53" r:id="rId3" display="ahdb.org.uk" xr:uid="{00000000-0004-0000-0600-000001000000}"/>
    <hyperlink ref="B45" r:id="rId4" xr:uid="{00000000-0004-0000-0600-000002000000}"/>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3:G12"/>
  <sheetViews>
    <sheetView workbookViewId="0">
      <selection activeCell="E22" sqref="E22"/>
    </sheetView>
  </sheetViews>
  <sheetFormatPr defaultRowHeight="12.75" x14ac:dyDescent="0.2"/>
  <cols>
    <col min="3" max="4" width="20.7109375" customWidth="1"/>
    <col min="5" max="5" width="11.5703125" customWidth="1"/>
    <col min="7" max="7" width="15.28515625" customWidth="1"/>
  </cols>
  <sheetData>
    <row r="3" spans="2:7" x14ac:dyDescent="0.2">
      <c r="C3" t="s">
        <v>122</v>
      </c>
    </row>
    <row r="4" spans="2:7" x14ac:dyDescent="0.2">
      <c r="C4" t="s">
        <v>123</v>
      </c>
      <c r="D4" t="s">
        <v>124</v>
      </c>
      <c r="E4" s="147" t="s">
        <v>130</v>
      </c>
      <c r="G4" t="s">
        <v>125</v>
      </c>
    </row>
    <row r="5" spans="2:7" x14ac:dyDescent="0.2">
      <c r="B5" s="144" t="s">
        <v>126</v>
      </c>
      <c r="C5" s="145">
        <v>8850</v>
      </c>
      <c r="D5" s="145">
        <v>12508</v>
      </c>
      <c r="E5" s="145">
        <f t="shared" ref="E5:E6" si="0">D5/C5*1000000/365</f>
        <v>3872.1461187214609</v>
      </c>
      <c r="G5" s="146">
        <f>E5*365/1000000</f>
        <v>1.4133333333333333</v>
      </c>
    </row>
    <row r="6" spans="2:7" x14ac:dyDescent="0.2">
      <c r="B6" s="144" t="s">
        <v>127</v>
      </c>
      <c r="C6" s="145">
        <v>8720</v>
      </c>
      <c r="D6" s="145">
        <v>12630</v>
      </c>
      <c r="E6" s="145">
        <f t="shared" si="0"/>
        <v>3968.2040970214903</v>
      </c>
      <c r="G6" s="146">
        <f t="shared" ref="G6:G8" si="1">E6*365/1000000</f>
        <v>1.448394495412844</v>
      </c>
    </row>
    <row r="7" spans="2:7" x14ac:dyDescent="0.2">
      <c r="B7" s="144" t="s">
        <v>128</v>
      </c>
      <c r="C7" s="145">
        <v>8380</v>
      </c>
      <c r="D7" s="145">
        <v>12532</v>
      </c>
      <c r="E7" s="145">
        <f t="shared" ref="E7:E12" si="2">D7/C7*1000000/365</f>
        <v>4097.1654624513685</v>
      </c>
      <c r="G7" s="146">
        <f t="shared" si="1"/>
        <v>1.4954653937947493</v>
      </c>
    </row>
    <row r="8" spans="2:7" x14ac:dyDescent="0.2">
      <c r="B8" s="144" t="s">
        <v>129</v>
      </c>
      <c r="C8" s="145">
        <v>8310</v>
      </c>
      <c r="D8" s="145">
        <v>12475.796827586208</v>
      </c>
      <c r="E8" s="145">
        <f t="shared" si="2"/>
        <v>4113.1486499468238</v>
      </c>
      <c r="G8" s="146">
        <f t="shared" si="1"/>
        <v>1.5012992572305905</v>
      </c>
    </row>
    <row r="9" spans="2:7" x14ac:dyDescent="0.2">
      <c r="B9" s="148" t="s">
        <v>136</v>
      </c>
      <c r="C9" s="145">
        <v>8040</v>
      </c>
      <c r="D9" s="145">
        <v>12541.76</v>
      </c>
      <c r="E9" s="145">
        <f t="shared" si="2"/>
        <v>4273.754515095754</v>
      </c>
      <c r="G9" s="146">
        <f t="shared" ref="G9:G11" si="3">E9*365/1000000</f>
        <v>1.5599203980099503</v>
      </c>
    </row>
    <row r="10" spans="2:7" x14ac:dyDescent="0.2">
      <c r="B10" s="155">
        <v>44470</v>
      </c>
      <c r="C10" s="145">
        <v>8000</v>
      </c>
      <c r="D10" s="145">
        <v>12536.91</v>
      </c>
      <c r="E10" s="145">
        <f t="shared" si="2"/>
        <v>4293.4623287671229</v>
      </c>
      <c r="G10" s="146">
        <f t="shared" si="3"/>
        <v>1.5671137499999999</v>
      </c>
    </row>
    <row r="11" spans="2:7" x14ac:dyDescent="0.2">
      <c r="B11" s="155" t="s">
        <v>147</v>
      </c>
      <c r="C11" s="145">
        <v>7880</v>
      </c>
      <c r="D11" s="145">
        <v>12354.05</v>
      </c>
      <c r="E11" s="145">
        <f t="shared" si="2"/>
        <v>4295.2680620262845</v>
      </c>
      <c r="G11" s="146">
        <f t="shared" si="3"/>
        <v>1.5677728426395938</v>
      </c>
    </row>
    <row r="12" spans="2:7" x14ac:dyDescent="0.2">
      <c r="B12" s="155">
        <v>44835</v>
      </c>
      <c r="C12" s="145">
        <v>7850</v>
      </c>
      <c r="D12" s="145">
        <v>12335.619999999999</v>
      </c>
      <c r="E12" s="145">
        <f t="shared" si="2"/>
        <v>4305.250850711107</v>
      </c>
      <c r="G12" s="146">
        <f t="shared" ref="G12" si="4">E12*365/1000000</f>
        <v>1.571416560509554</v>
      </c>
    </row>
  </sheetData>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E74"/>
  <sheetViews>
    <sheetView showGridLines="0" topLeftCell="A7" zoomScale="115" zoomScaleNormal="115" workbookViewId="0">
      <selection activeCell="D24" sqref="D24"/>
    </sheetView>
  </sheetViews>
  <sheetFormatPr defaultColWidth="8.85546875" defaultRowHeight="15" x14ac:dyDescent="0.2"/>
  <cols>
    <col min="1" max="1" width="13.42578125" style="104" bestFit="1" customWidth="1"/>
    <col min="2" max="2" width="12.140625" style="104" customWidth="1"/>
    <col min="3" max="3" width="19.7109375" style="104" customWidth="1"/>
    <col min="4" max="6" width="20.85546875" style="104" customWidth="1"/>
    <col min="7" max="7" width="24" style="104" customWidth="1"/>
    <col min="8" max="16384" width="8.85546875" style="104"/>
  </cols>
  <sheetData>
    <row r="1" spans="1:11" x14ac:dyDescent="0.2">
      <c r="A1" s="38"/>
      <c r="B1" s="38"/>
      <c r="C1" s="38"/>
      <c r="D1" s="38"/>
      <c r="E1" s="38"/>
      <c r="F1" s="38"/>
      <c r="G1" s="38"/>
      <c r="H1" s="38"/>
      <c r="I1" s="38"/>
      <c r="J1" s="38"/>
      <c r="K1" s="38"/>
    </row>
    <row r="2" spans="1:11" x14ac:dyDescent="0.2">
      <c r="A2" s="38"/>
      <c r="B2" s="38"/>
      <c r="C2" s="38"/>
      <c r="D2" s="38"/>
      <c r="E2" s="38"/>
      <c r="F2" s="38"/>
      <c r="G2" s="38"/>
      <c r="H2" s="38"/>
      <c r="I2" s="38"/>
      <c r="J2" s="38"/>
      <c r="K2" s="38"/>
    </row>
    <row r="3" spans="1:11" x14ac:dyDescent="0.2">
      <c r="A3" s="38"/>
      <c r="B3" s="38"/>
      <c r="C3" s="38"/>
      <c r="D3" s="38"/>
      <c r="E3" s="38"/>
      <c r="F3" s="38"/>
      <c r="G3" s="38"/>
      <c r="H3" s="38"/>
      <c r="I3" s="38"/>
      <c r="J3" s="38"/>
    </row>
    <row r="4" spans="1:11" x14ac:dyDescent="0.2">
      <c r="A4" s="38"/>
      <c r="B4" s="38"/>
      <c r="G4" s="38"/>
      <c r="H4" s="38"/>
      <c r="I4" s="38"/>
      <c r="J4" s="38"/>
    </row>
    <row r="5" spans="1:11" x14ac:dyDescent="0.2">
      <c r="A5" s="38"/>
      <c r="B5" s="38"/>
      <c r="G5" s="38"/>
      <c r="H5" s="38"/>
      <c r="I5" s="38"/>
      <c r="J5" s="38"/>
    </row>
    <row r="6" spans="1:11" x14ac:dyDescent="0.2">
      <c r="A6" s="38"/>
      <c r="B6" s="38"/>
      <c r="G6" s="38"/>
      <c r="H6" s="38"/>
      <c r="I6" s="38"/>
      <c r="J6" s="38"/>
    </row>
    <row r="7" spans="1:11" x14ac:dyDescent="0.2">
      <c r="A7" s="38"/>
      <c r="B7" s="38"/>
      <c r="G7" s="38"/>
      <c r="H7" s="38"/>
      <c r="I7" s="38"/>
      <c r="J7" s="38"/>
    </row>
    <row r="8" spans="1:11" x14ac:dyDescent="0.2">
      <c r="A8" s="38"/>
      <c r="B8" s="38"/>
      <c r="G8" s="140"/>
      <c r="H8" s="140"/>
      <c r="I8" s="140"/>
      <c r="J8" s="140"/>
    </row>
    <row r="9" spans="1:11" x14ac:dyDescent="0.2">
      <c r="A9" s="38"/>
      <c r="B9" s="38"/>
    </row>
    <row r="10" spans="1:11" x14ac:dyDescent="0.2">
      <c r="A10" s="38"/>
      <c r="B10" s="38"/>
      <c r="C10" s="38"/>
      <c r="D10" s="38"/>
      <c r="E10" s="38"/>
      <c r="F10" s="38"/>
      <c r="G10" s="38"/>
      <c r="H10" s="38"/>
      <c r="I10" s="38"/>
      <c r="J10" s="38"/>
    </row>
    <row r="11" spans="1:11" x14ac:dyDescent="0.2">
      <c r="A11" s="38"/>
      <c r="B11" s="38"/>
      <c r="C11" s="38"/>
      <c r="D11" s="38"/>
      <c r="E11" s="38"/>
      <c r="F11" s="38"/>
      <c r="G11" s="38"/>
      <c r="H11" s="38"/>
      <c r="I11" s="38"/>
      <c r="J11" s="38"/>
    </row>
    <row r="12" spans="1:11" ht="15.75" x14ac:dyDescent="0.2">
      <c r="A12" s="38"/>
      <c r="B12" s="38"/>
      <c r="C12" s="42" t="s">
        <v>111</v>
      </c>
      <c r="D12" s="43" t="s">
        <v>131</v>
      </c>
      <c r="E12" s="43" t="s">
        <v>95</v>
      </c>
      <c r="F12" s="43" t="s">
        <v>107</v>
      </c>
      <c r="G12" s="38"/>
      <c r="H12" s="38"/>
      <c r="I12" s="38"/>
      <c r="J12" s="38"/>
    </row>
    <row r="13" spans="1:11" x14ac:dyDescent="0.2">
      <c r="A13" s="38"/>
      <c r="B13" s="139"/>
      <c r="C13" s="52">
        <f>'GB AHDB producer numbers'!B9</f>
        <v>43739</v>
      </c>
      <c r="D13" s="54">
        <f>'GB AHDB producer numbers'!C9</f>
        <v>8720</v>
      </c>
      <c r="E13" s="54"/>
      <c r="F13" s="54"/>
      <c r="G13" s="38"/>
      <c r="H13" s="38"/>
      <c r="I13" s="38"/>
      <c r="J13" s="38"/>
    </row>
    <row r="14" spans="1:11" x14ac:dyDescent="0.2">
      <c r="A14" s="38"/>
      <c r="C14" s="51">
        <f>'GB AHDB producer numbers'!B10</f>
        <v>43922</v>
      </c>
      <c r="D14" s="142">
        <f>'GB AHDB producer numbers'!C10</f>
        <v>8380</v>
      </c>
      <c r="E14" s="142"/>
      <c r="F14" s="142"/>
      <c r="G14" s="166"/>
      <c r="H14" s="38"/>
      <c r="I14" s="38"/>
      <c r="J14" s="38"/>
      <c r="K14" s="38"/>
    </row>
    <row r="15" spans="1:11" x14ac:dyDescent="0.2">
      <c r="A15" s="38"/>
      <c r="B15" s="38"/>
      <c r="C15" s="52">
        <f>'GB AHDB producer numbers'!B11</f>
        <v>44105</v>
      </c>
      <c r="D15" s="54">
        <f>'GB AHDB producer numbers'!C11</f>
        <v>8310</v>
      </c>
      <c r="E15" s="54">
        <f>'GB AHDB producer numbers'!D11</f>
        <v>-410</v>
      </c>
      <c r="F15" s="56">
        <f>'GB AHDB producer numbers'!E11</f>
        <v>-4.7018348623853214E-2</v>
      </c>
      <c r="G15" s="166"/>
      <c r="H15" s="38"/>
      <c r="I15" s="38"/>
      <c r="J15" s="38"/>
      <c r="K15" s="38"/>
    </row>
    <row r="16" spans="1:11" x14ac:dyDescent="0.2">
      <c r="A16" s="38"/>
      <c r="B16" s="38"/>
      <c r="C16" s="51">
        <f>'GB AHDB producer numbers'!B12</f>
        <v>44287</v>
      </c>
      <c r="D16" s="142">
        <f>'GB AHDB producer numbers'!C12</f>
        <v>8040</v>
      </c>
      <c r="E16" s="142">
        <f>'GB AHDB producer numbers'!D12</f>
        <v>-340</v>
      </c>
      <c r="F16" s="143">
        <f>'GB AHDB producer numbers'!E12</f>
        <v>-4.0572792362768499E-2</v>
      </c>
      <c r="G16" s="166"/>
      <c r="H16" s="38"/>
      <c r="I16" s="38"/>
      <c r="J16" s="38"/>
      <c r="K16" s="38"/>
    </row>
    <row r="17" spans="1:11" x14ac:dyDescent="0.2">
      <c r="A17" s="38"/>
      <c r="B17" s="38"/>
      <c r="C17" s="52">
        <f>'GB AHDB producer numbers'!B13</f>
        <v>44470</v>
      </c>
      <c r="D17" s="54">
        <f>'GB AHDB producer numbers'!C13</f>
        <v>8000</v>
      </c>
      <c r="E17" s="54">
        <f>'GB AHDB producer numbers'!D13</f>
        <v>-310</v>
      </c>
      <c r="F17" s="56">
        <f>'GB AHDB producer numbers'!E13</f>
        <v>-3.7304452466907341E-2</v>
      </c>
      <c r="G17" s="166"/>
      <c r="H17" s="38"/>
      <c r="I17" s="38"/>
      <c r="J17" s="38"/>
      <c r="K17" s="38"/>
    </row>
    <row r="18" spans="1:11" x14ac:dyDescent="0.2">
      <c r="A18" s="38"/>
      <c r="B18" s="38"/>
      <c r="C18" s="51">
        <f>'GB AHDB producer numbers'!B14</f>
        <v>44652</v>
      </c>
      <c r="D18" s="142">
        <f>'GB AHDB producer numbers'!C14</f>
        <v>7880</v>
      </c>
      <c r="E18" s="142">
        <f>'GB AHDB producer numbers'!D14</f>
        <v>-160</v>
      </c>
      <c r="F18" s="143">
        <f>'GB AHDB producer numbers'!E14</f>
        <v>-1.9900497512437811E-2</v>
      </c>
      <c r="G18" s="166"/>
      <c r="H18" s="38"/>
      <c r="I18" s="38"/>
      <c r="J18" s="38"/>
      <c r="K18" s="38"/>
    </row>
    <row r="19" spans="1:11" x14ac:dyDescent="0.2">
      <c r="A19" s="38"/>
      <c r="B19" s="38"/>
      <c r="C19" s="52">
        <f>'GB AHDB producer numbers'!B15</f>
        <v>44835</v>
      </c>
      <c r="D19" s="54">
        <f>'GB AHDB producer numbers'!C15</f>
        <v>7850</v>
      </c>
      <c r="E19" s="54">
        <f>'GB AHDB producer numbers'!D15</f>
        <v>-150</v>
      </c>
      <c r="F19" s="56">
        <f>'GB AHDB producer numbers'!E15</f>
        <v>-1.8749999999999999E-2</v>
      </c>
      <c r="G19" s="38"/>
      <c r="H19" s="38"/>
      <c r="I19" s="38"/>
      <c r="J19" s="38"/>
    </row>
    <row r="20" spans="1:11" x14ac:dyDescent="0.2">
      <c r="A20" s="38"/>
      <c r="B20" s="38"/>
      <c r="C20" s="51">
        <f>'GB AHDB producer numbers'!B16</f>
        <v>45017</v>
      </c>
      <c r="D20" s="142">
        <f>'GB AHDB producer numbers'!C16</f>
        <v>7570</v>
      </c>
      <c r="E20" s="142">
        <f>'GB AHDB producer numbers'!D16</f>
        <v>-310</v>
      </c>
      <c r="F20" s="143">
        <f>'GB AHDB producer numbers'!E16</f>
        <v>-3.934010152284264E-2</v>
      </c>
      <c r="G20" s="38"/>
      <c r="H20" s="38"/>
      <c r="I20" s="38"/>
      <c r="J20" s="38"/>
    </row>
    <row r="21" spans="1:11" x14ac:dyDescent="0.2">
      <c r="A21" s="38"/>
      <c r="B21" s="38"/>
      <c r="C21" s="52">
        <f>'GB AHDB producer numbers'!B17</f>
        <v>45200</v>
      </c>
      <c r="D21" s="54">
        <f>'GB AHDB producer numbers'!C17</f>
        <v>7500</v>
      </c>
      <c r="E21" s="54">
        <f>'GB AHDB producer numbers'!D17</f>
        <v>-350</v>
      </c>
      <c r="F21" s="56">
        <f>'GB AHDB producer numbers'!E17</f>
        <v>-4.4585987261146494E-2</v>
      </c>
      <c r="G21" s="38"/>
      <c r="H21" s="38"/>
      <c r="I21" s="38"/>
      <c r="J21" s="38"/>
    </row>
    <row r="22" spans="1:11" x14ac:dyDescent="0.2">
      <c r="A22" s="38"/>
      <c r="B22" s="38"/>
      <c r="C22" s="200" t="s">
        <v>121</v>
      </c>
      <c r="D22" s="200"/>
      <c r="E22" s="200"/>
      <c r="F22" s="200"/>
      <c r="G22" s="38"/>
      <c r="H22" s="38"/>
      <c r="I22" s="38"/>
      <c r="J22" s="38"/>
    </row>
    <row r="23" spans="1:11" x14ac:dyDescent="0.2">
      <c r="A23" s="38"/>
      <c r="B23" s="38"/>
      <c r="C23" s="38"/>
      <c r="D23" s="38"/>
      <c r="E23" s="38"/>
      <c r="F23" s="38"/>
      <c r="G23" s="38"/>
      <c r="H23" s="38"/>
      <c r="I23" s="38"/>
      <c r="J23" s="38"/>
    </row>
    <row r="24" spans="1:11" x14ac:dyDescent="0.2">
      <c r="A24" s="38"/>
      <c r="B24" s="38"/>
      <c r="C24" s="38"/>
      <c r="D24" s="38"/>
      <c r="E24" s="38"/>
      <c r="F24" s="38"/>
      <c r="G24" s="38"/>
      <c r="H24" s="38"/>
      <c r="I24" s="38"/>
      <c r="J24" s="38"/>
    </row>
    <row r="25" spans="1:11" x14ac:dyDescent="0.2">
      <c r="A25" s="38"/>
      <c r="B25" s="38"/>
      <c r="C25" s="38"/>
      <c r="D25" s="38"/>
      <c r="E25" s="38"/>
      <c r="F25" s="38"/>
      <c r="G25" s="38"/>
      <c r="H25" s="38"/>
      <c r="I25" s="38"/>
      <c r="J25" s="38"/>
    </row>
    <row r="26" spans="1:11" x14ac:dyDescent="0.2">
      <c r="A26" s="38"/>
      <c r="B26" s="38"/>
      <c r="C26" s="38"/>
      <c r="D26" s="38"/>
      <c r="E26" s="38"/>
      <c r="F26" s="38"/>
      <c r="G26" s="38"/>
      <c r="H26" s="38"/>
      <c r="I26" s="38"/>
      <c r="J26" s="38"/>
    </row>
    <row r="27" spans="1:11" x14ac:dyDescent="0.2">
      <c r="A27" s="38"/>
      <c r="B27" s="38"/>
      <c r="C27" s="38"/>
      <c r="D27" s="38"/>
      <c r="E27" s="38"/>
      <c r="F27" s="38"/>
      <c r="G27" s="38"/>
      <c r="H27" s="38"/>
      <c r="I27" s="38"/>
      <c r="J27" s="38"/>
    </row>
    <row r="28" spans="1:11" x14ac:dyDescent="0.2">
      <c r="A28" s="38"/>
      <c r="B28" s="38"/>
      <c r="C28" s="38"/>
      <c r="D28" s="38"/>
      <c r="E28" s="38"/>
      <c r="F28" s="38"/>
      <c r="G28" s="38"/>
      <c r="H28" s="38"/>
      <c r="I28" s="38"/>
      <c r="J28" s="38"/>
    </row>
    <row r="29" spans="1:11" x14ac:dyDescent="0.2">
      <c r="A29" s="38"/>
      <c r="B29" s="38"/>
      <c r="C29" s="38"/>
      <c r="D29" s="38"/>
      <c r="E29" s="38"/>
      <c r="F29" s="38"/>
      <c r="G29" s="38"/>
      <c r="H29" s="38"/>
      <c r="I29" s="38"/>
      <c r="J29" s="38"/>
    </row>
    <row r="30" spans="1:11" x14ac:dyDescent="0.2">
      <c r="A30" s="38"/>
      <c r="B30" s="140"/>
      <c r="C30" s="38"/>
      <c r="D30" s="38"/>
      <c r="E30" s="38"/>
      <c r="F30" s="38"/>
      <c r="G30" s="38"/>
      <c r="H30" s="38"/>
      <c r="I30" s="38"/>
      <c r="J30" s="38"/>
      <c r="K30" s="38"/>
    </row>
    <row r="31" spans="1:11" x14ac:dyDescent="0.2">
      <c r="A31" s="38"/>
      <c r="C31" s="38"/>
      <c r="D31" s="38"/>
      <c r="E31" s="38"/>
      <c r="F31" s="38"/>
      <c r="G31" s="38"/>
      <c r="H31" s="38"/>
      <c r="I31" s="38"/>
      <c r="J31" s="38"/>
      <c r="K31" s="38"/>
    </row>
    <row r="32" spans="1:11" x14ac:dyDescent="0.2">
      <c r="A32" s="38"/>
      <c r="B32" s="38"/>
      <c r="C32" s="38"/>
      <c r="D32" s="38"/>
      <c r="E32" s="38"/>
      <c r="F32" s="38"/>
      <c r="G32" s="38"/>
      <c r="H32" s="38"/>
      <c r="I32" s="38"/>
      <c r="J32" s="38"/>
      <c r="K32" s="38"/>
    </row>
    <row r="33" spans="1:31"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2">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2">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row>
    <row r="36" spans="1:31" x14ac:dyDescent="0.2">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row>
    <row r="37" spans="1:31" x14ac:dyDescent="0.2">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row>
    <row r="38" spans="1:31" x14ac:dyDescent="0.2">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row>
    <row r="40" spans="1:31"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row>
    <row r="41" spans="1:31"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row>
    <row r="42" spans="1:3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row>
    <row r="43" spans="1:31"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row>
    <row r="44" spans="1:31"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row>
    <row r="45" spans="1:31"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row>
    <row r="46" spans="1:31"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row>
    <row r="47" spans="1:31"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row>
    <row r="48" spans="1:31"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row>
    <row r="49" spans="1:31"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row>
    <row r="50" spans="1:31"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row>
    <row r="51" spans="1:31" x14ac:dyDescent="0.2">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row>
    <row r="52" spans="1:31"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row>
    <row r="53" spans="1:31" x14ac:dyDescent="0.2">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row>
    <row r="54" spans="1:3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row>
    <row r="55" spans="1:31"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row>
    <row r="56" spans="1:31"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row>
    <row r="57" spans="1:31"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row>
    <row r="58" spans="1:31"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row>
    <row r="59" spans="1:31"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row>
    <row r="60" spans="1:31"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row>
    <row r="61" spans="1:31" x14ac:dyDescent="0.2">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row>
    <row r="62" spans="1:31" x14ac:dyDescent="0.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row>
    <row r="63" spans="1:31"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row>
    <row r="64" spans="1:31"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row>
    <row r="65" spans="1:31" x14ac:dyDescent="0.2">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row>
    <row r="66" spans="1:31"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row>
    <row r="67" spans="1:31"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row>
    <row r="68" spans="1:31"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row>
    <row r="69" spans="1:31" x14ac:dyDescent="0.2">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row>
    <row r="70" spans="1:31"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row>
    <row r="71" spans="1:31" x14ac:dyDescent="0.2">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row>
    <row r="72" spans="1:31"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row>
    <row r="73" spans="1:31"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row>
    <row r="74" spans="1:31"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row>
  </sheetData>
  <mergeCells count="1">
    <mergeCell ref="C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GB AHDB producer numbers</vt:lpstr>
      <vt:lpstr>England and Wales (6-monthly)</vt:lpstr>
      <vt:lpstr>England and Wales (by county)</vt:lpstr>
      <vt:lpstr>Eng and Wales (by county Jun) </vt:lpstr>
      <vt:lpstr>UK by country (annual)</vt:lpstr>
      <vt:lpstr>Chart</vt:lpstr>
      <vt:lpstr>Disclaimer and notes</vt:lpstr>
      <vt:lpstr>Chart workings</vt:lpstr>
      <vt:lpstr>For website (HIDE)</vt:lpstr>
      <vt:lpstr>'UK by country (annual)'!Print_Area</vt:lpstr>
    </vt:vector>
  </TitlesOfParts>
  <Company>MDC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Freya Shuttleworth</cp:lastModifiedBy>
  <cp:lastPrinted>2010-10-06T10:10:16Z</cp:lastPrinted>
  <dcterms:created xsi:type="dcterms:W3CDTF">2001-07-09T07:44:50Z</dcterms:created>
  <dcterms:modified xsi:type="dcterms:W3CDTF">2023-11-23T10:39:43Z</dcterms:modified>
</cp:coreProperties>
</file>